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RY GUIN EPUNEMI\Desktop\"/>
    </mc:Choice>
  </mc:AlternateContent>
  <bookViews>
    <workbookView xWindow="0" yWindow="0" windowWidth="24000" windowHeight="8835"/>
  </bookViews>
  <sheets>
    <sheet name="CONJUNTO DE DATOS" sheetId="1" r:id="rId1"/>
  </sheets>
  <definedNames>
    <definedName name="_xlnm._FilterDatabase" localSheetId="0" hidden="1">'CONJUNTO DE DATOS'!$A$1:$L$84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" i="1" l="1"/>
  <c r="I84" i="1"/>
  <c r="H84" i="1"/>
  <c r="G84" i="1"/>
  <c r="I83" i="1"/>
  <c r="L83" i="1" s="1"/>
  <c r="H83" i="1"/>
  <c r="G83" i="1"/>
  <c r="I82" i="1"/>
  <c r="H82" i="1"/>
  <c r="L82" i="1" s="1"/>
  <c r="I81" i="1"/>
  <c r="H81" i="1"/>
  <c r="L81" i="1" s="1"/>
  <c r="I80" i="1"/>
  <c r="H80" i="1"/>
  <c r="L80" i="1" s="1"/>
  <c r="A80" i="1"/>
  <c r="A81" i="1" s="1"/>
  <c r="A82" i="1" s="1"/>
  <c r="A83" i="1" s="1"/>
  <c r="A84" i="1" s="1"/>
  <c r="L79" i="1"/>
  <c r="G79" i="1"/>
  <c r="I78" i="1"/>
  <c r="L78" i="1" s="1"/>
  <c r="H78" i="1"/>
  <c r="G78" i="1"/>
  <c r="L77" i="1"/>
  <c r="G77" i="1"/>
  <c r="I76" i="1"/>
  <c r="L76" i="1" s="1"/>
  <c r="H76" i="1"/>
  <c r="G76" i="1"/>
  <c r="L75" i="1"/>
  <c r="I75" i="1"/>
  <c r="H75" i="1"/>
  <c r="G75" i="1"/>
  <c r="I74" i="1"/>
  <c r="H74" i="1"/>
  <c r="L74" i="1" s="1"/>
  <c r="G74" i="1"/>
  <c r="I73" i="1"/>
  <c r="H73" i="1"/>
  <c r="L73" i="1" s="1"/>
  <c r="I72" i="1"/>
  <c r="H72" i="1"/>
  <c r="L72" i="1" s="1"/>
  <c r="G72" i="1"/>
  <c r="I71" i="1"/>
  <c r="L71" i="1" s="1"/>
  <c r="H71" i="1"/>
  <c r="G71" i="1"/>
  <c r="L70" i="1"/>
  <c r="I70" i="1"/>
  <c r="H70" i="1"/>
  <c r="G70" i="1"/>
  <c r="I69" i="1"/>
  <c r="H69" i="1"/>
  <c r="L69" i="1" s="1"/>
  <c r="G69" i="1"/>
  <c r="I68" i="1"/>
  <c r="H68" i="1"/>
  <c r="L68" i="1" s="1"/>
  <c r="G68" i="1"/>
  <c r="I67" i="1"/>
  <c r="L67" i="1" s="1"/>
  <c r="H67" i="1"/>
  <c r="G67" i="1"/>
  <c r="L66" i="1"/>
  <c r="I66" i="1"/>
  <c r="H66" i="1"/>
  <c r="G66" i="1"/>
  <c r="I65" i="1"/>
  <c r="H65" i="1"/>
  <c r="L65" i="1" s="1"/>
  <c r="I64" i="1"/>
  <c r="H64" i="1"/>
  <c r="L64" i="1" s="1"/>
  <c r="L63" i="1"/>
  <c r="G63" i="1"/>
  <c r="L62" i="1"/>
  <c r="G62" i="1"/>
  <c r="I61" i="1"/>
  <c r="L61" i="1" s="1"/>
  <c r="H61" i="1"/>
  <c r="G61" i="1"/>
  <c r="L60" i="1"/>
  <c r="I60" i="1"/>
  <c r="H60" i="1"/>
  <c r="G60" i="1"/>
  <c r="I59" i="1"/>
  <c r="H59" i="1"/>
  <c r="L59" i="1" s="1"/>
  <c r="I58" i="1"/>
  <c r="H58" i="1"/>
  <c r="L58" i="1" s="1"/>
  <c r="G58" i="1"/>
  <c r="I57" i="1"/>
  <c r="H57" i="1"/>
  <c r="L57" i="1" s="1"/>
  <c r="G57" i="1"/>
  <c r="I56" i="1"/>
  <c r="L56" i="1" s="1"/>
  <c r="H56" i="1"/>
  <c r="G56" i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L55" i="1"/>
  <c r="I55" i="1"/>
  <c r="H55" i="1"/>
  <c r="G55" i="1"/>
  <c r="L54" i="1"/>
  <c r="I54" i="1"/>
  <c r="H54" i="1"/>
  <c r="G54" i="1"/>
  <c r="L53" i="1"/>
  <c r="I53" i="1"/>
  <c r="H53" i="1"/>
  <c r="G53" i="1"/>
  <c r="I52" i="1"/>
  <c r="H52" i="1"/>
  <c r="L52" i="1" s="1"/>
  <c r="G52" i="1"/>
  <c r="I51" i="1"/>
  <c r="H51" i="1"/>
  <c r="L51" i="1" s="1"/>
  <c r="G51" i="1"/>
  <c r="I50" i="1"/>
  <c r="L50" i="1" s="1"/>
  <c r="H50" i="1"/>
  <c r="I49" i="1"/>
  <c r="L49" i="1" s="1"/>
  <c r="H49" i="1"/>
  <c r="G49" i="1"/>
  <c r="L48" i="1"/>
  <c r="G48" i="1"/>
  <c r="I47" i="1"/>
  <c r="L47" i="1" s="1"/>
  <c r="H47" i="1"/>
  <c r="G47" i="1"/>
  <c r="L46" i="1"/>
  <c r="I46" i="1"/>
  <c r="H46" i="1"/>
  <c r="G46" i="1"/>
  <c r="I45" i="1"/>
  <c r="H45" i="1"/>
  <c r="L45" i="1" s="1"/>
  <c r="G45" i="1"/>
  <c r="I44" i="1"/>
  <c r="H44" i="1"/>
  <c r="L44" i="1" s="1"/>
  <c r="G44" i="1"/>
  <c r="I43" i="1"/>
  <c r="L43" i="1" s="1"/>
  <c r="H43" i="1"/>
  <c r="G43" i="1"/>
  <c r="L42" i="1"/>
  <c r="I42" i="1"/>
  <c r="H42" i="1"/>
  <c r="G42" i="1"/>
  <c r="I41" i="1"/>
  <c r="H41" i="1"/>
  <c r="L41" i="1" s="1"/>
  <c r="I40" i="1"/>
  <c r="H40" i="1"/>
  <c r="L40" i="1" s="1"/>
  <c r="G40" i="1"/>
  <c r="I39" i="1"/>
  <c r="H39" i="1"/>
  <c r="L39" i="1" s="1"/>
  <c r="G39" i="1"/>
  <c r="I38" i="1"/>
  <c r="L38" i="1" s="1"/>
  <c r="H38" i="1"/>
  <c r="G38" i="1"/>
  <c r="L37" i="1"/>
  <c r="I37" i="1"/>
  <c r="H37" i="1"/>
  <c r="G37" i="1"/>
  <c r="I36" i="1"/>
  <c r="H36" i="1"/>
  <c r="L36" i="1" s="1"/>
  <c r="G36" i="1"/>
  <c r="I35" i="1"/>
  <c r="H35" i="1"/>
  <c r="L35" i="1" s="1"/>
  <c r="G35" i="1"/>
  <c r="I34" i="1"/>
  <c r="L34" i="1" s="1"/>
  <c r="H34" i="1"/>
  <c r="G34" i="1"/>
  <c r="L33" i="1"/>
  <c r="I33" i="1"/>
  <c r="H33" i="1"/>
  <c r="I32" i="1"/>
  <c r="H32" i="1"/>
  <c r="L32" i="1" s="1"/>
  <c r="G32" i="1"/>
  <c r="L31" i="1"/>
  <c r="G31" i="1"/>
  <c r="L30" i="1"/>
  <c r="I30" i="1"/>
  <c r="H30" i="1"/>
  <c r="G30" i="1"/>
  <c r="I29" i="1"/>
  <c r="H29" i="1"/>
  <c r="L29" i="1" s="1"/>
  <c r="G29" i="1"/>
  <c r="I28" i="1"/>
  <c r="H28" i="1"/>
  <c r="L28" i="1" s="1"/>
  <c r="G28" i="1"/>
  <c r="I27" i="1"/>
  <c r="L27" i="1" s="1"/>
  <c r="H27" i="1"/>
  <c r="G27" i="1"/>
  <c r="L26" i="1"/>
  <c r="H26" i="1"/>
  <c r="G26" i="1"/>
  <c r="L25" i="1"/>
  <c r="I25" i="1"/>
  <c r="H25" i="1"/>
  <c r="G25" i="1"/>
  <c r="L24" i="1"/>
  <c r="G24" i="1"/>
  <c r="L23" i="1"/>
  <c r="I23" i="1"/>
  <c r="H23" i="1"/>
  <c r="G23" i="1"/>
  <c r="I22" i="1"/>
  <c r="H22" i="1"/>
  <c r="L22" i="1" s="1"/>
  <c r="G22" i="1"/>
  <c r="I21" i="1"/>
  <c r="H21" i="1"/>
  <c r="L21" i="1" s="1"/>
  <c r="G21" i="1"/>
  <c r="I20" i="1"/>
  <c r="L20" i="1" s="1"/>
  <c r="H20" i="1"/>
  <c r="G20" i="1"/>
  <c r="L19" i="1"/>
  <c r="I19" i="1"/>
  <c r="H19" i="1"/>
  <c r="G19" i="1"/>
  <c r="I18" i="1"/>
  <c r="H18" i="1"/>
  <c r="L18" i="1" s="1"/>
  <c r="G18" i="1"/>
  <c r="L17" i="1"/>
  <c r="G17" i="1"/>
  <c r="I16" i="1"/>
  <c r="H16" i="1"/>
  <c r="L16" i="1" s="1"/>
  <c r="G16" i="1"/>
  <c r="I15" i="1"/>
  <c r="H15" i="1"/>
  <c r="L15" i="1" s="1"/>
  <c r="G15" i="1"/>
  <c r="I14" i="1"/>
  <c r="L14" i="1" s="1"/>
  <c r="H14" i="1"/>
  <c r="I13" i="1"/>
  <c r="L13" i="1" s="1"/>
  <c r="H13" i="1"/>
  <c r="G13" i="1"/>
  <c r="L12" i="1"/>
  <c r="I12" i="1"/>
  <c r="H12" i="1"/>
  <c r="G12" i="1"/>
  <c r="L11" i="1"/>
  <c r="G11" i="1"/>
  <c r="L10" i="1"/>
  <c r="I10" i="1"/>
  <c r="H10" i="1"/>
  <c r="G10" i="1"/>
  <c r="I9" i="1"/>
  <c r="H9" i="1"/>
  <c r="L9" i="1" s="1"/>
  <c r="G9" i="1"/>
  <c r="I8" i="1"/>
  <c r="H8" i="1"/>
  <c r="L8" i="1" s="1"/>
  <c r="G8" i="1"/>
  <c r="H7" i="1"/>
  <c r="L7" i="1" s="1"/>
  <c r="G7" i="1"/>
  <c r="I6" i="1"/>
  <c r="L6" i="1" s="1"/>
  <c r="H6" i="1"/>
  <c r="G6" i="1"/>
  <c r="L5" i="1"/>
  <c r="I5" i="1"/>
  <c r="H5" i="1"/>
  <c r="L4" i="1"/>
  <c r="I4" i="1"/>
  <c r="H4" i="1"/>
  <c r="G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I3" i="1"/>
  <c r="H3" i="1"/>
  <c r="L3" i="1" s="1"/>
  <c r="G3" i="1"/>
  <c r="L2" i="1"/>
  <c r="G2" i="1"/>
</calcChain>
</file>

<file path=xl/sharedStrings.xml><?xml version="1.0" encoding="utf-8"?>
<sst xmlns="http://schemas.openxmlformats.org/spreadsheetml/2006/main" count="339" uniqueCount="91">
  <si>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</si>
  <si>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</si>
  <si>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</si>
  <si>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</si>
  <si>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</si>
  <si>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</si>
  <si>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</si>
  <si>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</si>
  <si>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</si>
  <si>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</si>
  <si>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</si>
  <si>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</si>
  <si>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DIGITADOR - CLASIFICADOR</t>
  </si>
  <si>
    <t xml:space="preserve"> LEY ORGANICA DE EMPRESAS PUBLICAS</t>
  </si>
  <si>
    <t>2023.51.05.10</t>
  </si>
  <si>
    <t>SPA2</t>
  </si>
  <si>
    <t xml:space="preserve">VENDEDOR </t>
  </si>
  <si>
    <t>SPA4</t>
  </si>
  <si>
    <t>INSTRUCTOR</t>
  </si>
  <si>
    <t xml:space="preserve">ASISTENTE DE GESTION ADMINISTRATIVA DE CFAE 1 </t>
  </si>
  <si>
    <t>SP2</t>
  </si>
  <si>
    <t>VENDEDOR CORPORATIVO</t>
  </si>
  <si>
    <t>ANALISTA DE COBRANZAS 1</t>
  </si>
  <si>
    <t>SP3</t>
  </si>
  <si>
    <t xml:space="preserve">INSTRUCTOR </t>
  </si>
  <si>
    <t>JEFE DE VENTAS DE CFAE</t>
  </si>
  <si>
    <t>SP5</t>
  </si>
  <si>
    <t>28,75,</t>
  </si>
  <si>
    <t>CONSERJE</t>
  </si>
  <si>
    <t>CODIGO DE TRABAJO</t>
  </si>
  <si>
    <t>2023.51.05.02</t>
  </si>
  <si>
    <t>E1</t>
  </si>
  <si>
    <t>ANALISTA DE CURSOS TÉCNICOS 3</t>
  </si>
  <si>
    <t>ASISTENTE DE TESORERÍA 1</t>
  </si>
  <si>
    <t>DIRECTOR DE CFAE</t>
  </si>
  <si>
    <t>2023.51.05.05</t>
  </si>
  <si>
    <t>VENDEDOR (A) CORPORATIVO</t>
  </si>
  <si>
    <t xml:space="preserve">COORDINADOR (A) DE ASESORÍA JURÍDICA </t>
  </si>
  <si>
    <t>2023.51.01.10</t>
  </si>
  <si>
    <t>SP7</t>
  </si>
  <si>
    <t>AUXILIAR CONTINGENTE 2 DE CONTABILIDAD</t>
  </si>
  <si>
    <t>VENDEDOR</t>
  </si>
  <si>
    <t>GUARDIA</t>
  </si>
  <si>
    <t>DIRECTOR DE COMPRAS PÚBLICAS</t>
  </si>
  <si>
    <t>DIRECTOR/A DE ECUNEMI</t>
  </si>
  <si>
    <t xml:space="preserve"> EVALUADOR PSICOSENSOMÉTRICO</t>
  </si>
  <si>
    <t>37,5*2</t>
  </si>
  <si>
    <t>VENDEDOR JUNIOR</t>
  </si>
  <si>
    <t>INSTRUCTOR SENIOR</t>
  </si>
  <si>
    <t>SP1</t>
  </si>
  <si>
    <t>SECRETARIA/O ECUNEMI</t>
  </si>
  <si>
    <t>ANALISTA DE BIENES Y SERVICIOS GENERALES 2</t>
  </si>
  <si>
    <t>SP4</t>
  </si>
  <si>
    <t xml:space="preserve">AUXILIAR CONTINGENTE 2 DE TECNOLOGÍA DE LA INFORMACIÓN  </t>
  </si>
  <si>
    <t>AUXILIAR CONTINGENTE 2 DE GESTIÓN ADMINISTRATIVA DE CFAE</t>
  </si>
  <si>
    <t>ASISTENTE DE GERENCIA 1</t>
  </si>
  <si>
    <t>ANALISTA JURIDICO DE COMPRAS PUBLICAS 3</t>
  </si>
  <si>
    <t xml:space="preserve">ASISTENTE DE RELACIONES PÚBLICAS 1 </t>
  </si>
  <si>
    <t>GERENTE GENERAL</t>
  </si>
  <si>
    <t>ASESOR DE GERENCIA 3</t>
  </si>
  <si>
    <t>SECRETARIA DE CFAE</t>
  </si>
  <si>
    <t>VENDEDOR/TELEVENDEDOR</t>
  </si>
  <si>
    <t>SPA1</t>
  </si>
  <si>
    <t>CONTADOR (A) GENERAL</t>
  </si>
  <si>
    <t>COORDINADOR DE VENTAS DE ECUNEMI</t>
  </si>
  <si>
    <t>DIRECTORA ADMINISTRATIVA FIANCIERA</t>
  </si>
  <si>
    <t>AUXILIAR CONTINGENTE 2 DE TECNOLOGÍA DE LA INFORMACIÓN</t>
  </si>
  <si>
    <t xml:space="preserve">ANALISTA DE GERENCIA 3 </t>
  </si>
  <si>
    <t>COORDINADOR DE GERENCIA</t>
  </si>
  <si>
    <t>ANALISTA DE PRESUPUESTO 3</t>
  </si>
  <si>
    <t>CAJERO/A 1</t>
  </si>
  <si>
    <t>CAJERO/A 2</t>
  </si>
  <si>
    <t>AUXILIAR CONTINGENTE 1 DE TALENTO HUMANO</t>
  </si>
  <si>
    <t xml:space="preserve">VENDEDOR/ TELEVENDEDOR </t>
  </si>
  <si>
    <t>COODINADOR(A) DE TALENTO HUMANO</t>
  </si>
  <si>
    <t>AUXLIAR CONTINGENTE 2 DE PRESUPUESTO</t>
  </si>
  <si>
    <t>VENDEDOR/A</t>
  </si>
  <si>
    <t xml:space="preserve">ANALISTA PEDAGÓGICA </t>
  </si>
  <si>
    <t>DIRECTORA PEDAGÓGICA</t>
  </si>
  <si>
    <t>ANALISTA DE COMPRAS PÚBLICAS 3</t>
  </si>
  <si>
    <t>VENDEDOR/A  CORPORATIVO</t>
  </si>
  <si>
    <t>ANALISTA DE TALENTO HUMANO 3</t>
  </si>
  <si>
    <t>TESORERO (A) GENERAL</t>
  </si>
  <si>
    <t>ASESOR DE GERENCIA  2</t>
  </si>
  <si>
    <t>ANALISTA DE BIENES Y SERVICIOS GENERALES 3</t>
  </si>
  <si>
    <t>ANALISTA DE GESTIÓN ADMINISTRATIVA DE CFAE 3</t>
  </si>
  <si>
    <t>Z</t>
  </si>
  <si>
    <t xml:space="preserve">ASISTENTE ADMINISTRATIVO FINANCIERO </t>
  </si>
  <si>
    <t xml:space="preserve">ASISTENTE DE COBRANZAS 1 </t>
  </si>
  <si>
    <t>ASESOR TECNICO DE  EDUCACIÓN Y SEGURIDAD VIAL</t>
  </si>
  <si>
    <t>ANALISTA DE TECNOLOGÍA DE LA INFORMACIÓN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</si>
</sst>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sz val="11"/>
      <color indexed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/>
    <xf numFmtId="43" fontId="6" fillId="0" borderId="2" xfId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7"/>
  <sheetViews>
    <sheetView tabSelected="1" topLeftCell="A19" workbookViewId="0">
      <selection activeCell="B10" sqref="B10"/>
    </sheetView>
  </sheetViews>
  <sheetFormatPr baseColWidth="10" defaultColWidth="14.42578125" defaultRowHeight="15" customHeight="1" x14ac:dyDescent="0.25"/>
  <cols>
    <col min="1" max="1" width="12.710937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12" customFormat="1" ht="16.5" x14ac:dyDescent="0.25">
      <c r="A2" s="4">
        <v>1</v>
      </c>
      <c r="B2" s="5" t="s">
        <v>12</v>
      </c>
      <c r="C2" s="4" t="s">
        <v>13</v>
      </c>
      <c r="D2" s="6" t="s">
        <v>14</v>
      </c>
      <c r="E2" s="7" t="s">
        <v>15</v>
      </c>
      <c r="F2" s="8">
        <v>622</v>
      </c>
      <c r="G2" s="9">
        <f>F2*2</f>
        <v>1244</v>
      </c>
      <c r="H2" s="10">
        <v>43.19</v>
      </c>
      <c r="I2" s="10">
        <v>31.25</v>
      </c>
      <c r="J2" s="9">
        <v>0</v>
      </c>
      <c r="K2" s="9">
        <v>0</v>
      </c>
      <c r="L2" s="10">
        <f>SUM(H2:K2)</f>
        <v>74.44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s="12" customFormat="1" ht="16.5" x14ac:dyDescent="0.25">
      <c r="A3" s="4">
        <v>2</v>
      </c>
      <c r="B3" s="5" t="s">
        <v>16</v>
      </c>
      <c r="C3" s="4" t="s">
        <v>13</v>
      </c>
      <c r="D3" s="6" t="s">
        <v>14</v>
      </c>
      <c r="E3" s="7" t="s">
        <v>17</v>
      </c>
      <c r="F3" s="8">
        <v>733</v>
      </c>
      <c r="G3" s="9">
        <f>F3*12</f>
        <v>8796</v>
      </c>
      <c r="H3" s="10">
        <f>(F3/12)*11</f>
        <v>671.91666666666674</v>
      </c>
      <c r="I3" s="10">
        <f>(450/360*30)*11</f>
        <v>412.5</v>
      </c>
      <c r="J3" s="9">
        <v>0</v>
      </c>
      <c r="K3" s="9">
        <v>0</v>
      </c>
      <c r="L3" s="10">
        <f>+SUM(H3:K3)</f>
        <v>1084.4166666666667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s="12" customFormat="1" ht="16.5" x14ac:dyDescent="0.25">
      <c r="A4" s="4">
        <f t="shared" ref="A4:A67" si="0">1+A3</f>
        <v>3</v>
      </c>
      <c r="B4" s="5" t="s">
        <v>18</v>
      </c>
      <c r="C4" s="4" t="s">
        <v>13</v>
      </c>
      <c r="D4" s="6" t="s">
        <v>14</v>
      </c>
      <c r="E4" s="7" t="s">
        <v>17</v>
      </c>
      <c r="F4" s="8">
        <v>733</v>
      </c>
      <c r="G4" s="9">
        <f>(733*4)+390.93</f>
        <v>3322.93</v>
      </c>
      <c r="H4" s="10">
        <f>32.58+(61.08*3)</f>
        <v>215.82</v>
      </c>
      <c r="I4" s="10">
        <f>20+(37.5*3)</f>
        <v>132.5</v>
      </c>
      <c r="J4" s="9">
        <v>0</v>
      </c>
      <c r="K4" s="9">
        <v>0</v>
      </c>
      <c r="L4" s="10">
        <f>H4+I4</f>
        <v>348.32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s="12" customFormat="1" ht="33" x14ac:dyDescent="0.25">
      <c r="A5" s="4">
        <f t="shared" si="0"/>
        <v>4</v>
      </c>
      <c r="B5" s="13" t="s">
        <v>19</v>
      </c>
      <c r="C5" s="4" t="s">
        <v>13</v>
      </c>
      <c r="D5" s="6" t="s">
        <v>14</v>
      </c>
      <c r="E5" s="7" t="s">
        <v>20</v>
      </c>
      <c r="F5" s="8">
        <v>901</v>
      </c>
      <c r="G5" s="9">
        <v>10812</v>
      </c>
      <c r="H5" s="10">
        <f>37.54+(75.08*10)</f>
        <v>788.33999999999992</v>
      </c>
      <c r="I5" s="10">
        <f>(450/360*15)+(37.5*10)</f>
        <v>393.75</v>
      </c>
      <c r="J5" s="9">
        <v>0</v>
      </c>
      <c r="K5" s="9">
        <v>0</v>
      </c>
      <c r="L5" s="10">
        <f t="shared" ref="L5:L11" si="1">+SUM(H5:K5)</f>
        <v>1182.0899999999999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s="12" customFormat="1" ht="16.5" x14ac:dyDescent="0.25">
      <c r="A6" s="4">
        <f t="shared" si="0"/>
        <v>5</v>
      </c>
      <c r="B6" s="13" t="s">
        <v>21</v>
      </c>
      <c r="C6" s="4" t="s">
        <v>13</v>
      </c>
      <c r="D6" s="6" t="s">
        <v>14</v>
      </c>
      <c r="E6" s="7" t="s">
        <v>20</v>
      </c>
      <c r="F6" s="8">
        <v>901</v>
      </c>
      <c r="G6" s="9">
        <f>F6*12</f>
        <v>10812</v>
      </c>
      <c r="H6" s="10">
        <f>(F6/12)*11</f>
        <v>825.91666666666663</v>
      </c>
      <c r="I6" s="10">
        <f>(450/360*30)*11</f>
        <v>412.5</v>
      </c>
      <c r="J6" s="9">
        <v>0</v>
      </c>
      <c r="K6" s="9">
        <v>0</v>
      </c>
      <c r="L6" s="10">
        <f t="shared" si="1"/>
        <v>1238.4166666666665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12" customFormat="1" ht="16.5" x14ac:dyDescent="0.25">
      <c r="A7" s="4">
        <f t="shared" si="0"/>
        <v>6</v>
      </c>
      <c r="B7" s="13" t="s">
        <v>12</v>
      </c>
      <c r="C7" s="4" t="s">
        <v>13</v>
      </c>
      <c r="D7" s="6" t="s">
        <v>14</v>
      </c>
      <c r="E7" s="7" t="s">
        <v>15</v>
      </c>
      <c r="F7" s="8">
        <v>622</v>
      </c>
      <c r="G7" s="9">
        <f>F7*2</f>
        <v>1244</v>
      </c>
      <c r="H7" s="10">
        <f>43.19</f>
        <v>43.19</v>
      </c>
      <c r="I7" s="10">
        <v>31.25</v>
      </c>
      <c r="J7" s="9">
        <v>0</v>
      </c>
      <c r="K7" s="9">
        <v>0</v>
      </c>
      <c r="L7" s="10">
        <f>SUM(H7:K7)</f>
        <v>74.44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12" customFormat="1" ht="16.5" x14ac:dyDescent="0.25">
      <c r="A8" s="4">
        <f t="shared" si="0"/>
        <v>7</v>
      </c>
      <c r="B8" s="5" t="s">
        <v>22</v>
      </c>
      <c r="C8" s="4" t="s">
        <v>13</v>
      </c>
      <c r="D8" s="6" t="s">
        <v>14</v>
      </c>
      <c r="E8" s="7" t="s">
        <v>23</v>
      </c>
      <c r="F8" s="8">
        <v>986</v>
      </c>
      <c r="G8" s="9">
        <f t="shared" ref="G8:G20" si="2">F8*12</f>
        <v>11832</v>
      </c>
      <c r="H8" s="10">
        <f>(F8/12)*11</f>
        <v>903.83333333333337</v>
      </c>
      <c r="I8" s="10">
        <f>(450/360*30)*11</f>
        <v>412.5</v>
      </c>
      <c r="J8" s="9">
        <v>0</v>
      </c>
      <c r="K8" s="9">
        <v>0</v>
      </c>
      <c r="L8" s="10">
        <f t="shared" si="1"/>
        <v>1316.3333333333335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s="12" customFormat="1" ht="16.5" x14ac:dyDescent="0.25">
      <c r="A9" s="4">
        <f t="shared" si="0"/>
        <v>8</v>
      </c>
      <c r="B9" s="5" t="s">
        <v>24</v>
      </c>
      <c r="C9" s="4" t="s">
        <v>13</v>
      </c>
      <c r="D9" s="6" t="s">
        <v>14</v>
      </c>
      <c r="E9" s="7" t="s">
        <v>17</v>
      </c>
      <c r="F9" s="8">
        <v>733</v>
      </c>
      <c r="G9" s="9">
        <f t="shared" si="2"/>
        <v>8796</v>
      </c>
      <c r="H9" s="10">
        <f>(F9/12)*11</f>
        <v>671.91666666666674</v>
      </c>
      <c r="I9" s="10">
        <f>(450/360*30)*11</f>
        <v>412.5</v>
      </c>
      <c r="J9" s="9">
        <v>0</v>
      </c>
      <c r="K9" s="9">
        <v>0</v>
      </c>
      <c r="L9" s="10">
        <f t="shared" si="1"/>
        <v>1084.4166666666667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12" customFormat="1" ht="16.5" x14ac:dyDescent="0.25">
      <c r="A10" s="4">
        <f t="shared" si="0"/>
        <v>9</v>
      </c>
      <c r="B10" s="5" t="s">
        <v>25</v>
      </c>
      <c r="C10" s="4" t="s">
        <v>13</v>
      </c>
      <c r="D10" s="6" t="s">
        <v>14</v>
      </c>
      <c r="E10" s="7" t="s">
        <v>26</v>
      </c>
      <c r="F10" s="8">
        <v>1212</v>
      </c>
      <c r="G10" s="9">
        <f t="shared" si="2"/>
        <v>14544</v>
      </c>
      <c r="H10" s="10">
        <f>(F10/12)*11</f>
        <v>1111</v>
      </c>
      <c r="I10" s="10">
        <f>(450/360*30)*11</f>
        <v>412.5</v>
      </c>
      <c r="J10" s="9">
        <v>0</v>
      </c>
      <c r="K10" s="9">
        <v>0</v>
      </c>
      <c r="L10" s="10">
        <f t="shared" si="1"/>
        <v>1523.5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s="12" customFormat="1" ht="16.5" x14ac:dyDescent="0.25">
      <c r="A11" s="4">
        <f t="shared" si="0"/>
        <v>10</v>
      </c>
      <c r="B11" s="13" t="s">
        <v>12</v>
      </c>
      <c r="C11" s="4" t="s">
        <v>13</v>
      </c>
      <c r="D11" s="6" t="s">
        <v>14</v>
      </c>
      <c r="E11" s="7" t="s">
        <v>15</v>
      </c>
      <c r="F11" s="8">
        <v>622</v>
      </c>
      <c r="G11" s="9">
        <f>F11*2</f>
        <v>1244</v>
      </c>
      <c r="H11" s="10">
        <v>39.74</v>
      </c>
      <c r="I11" s="10" t="s">
        <v>27</v>
      </c>
      <c r="J11" s="9">
        <v>0</v>
      </c>
      <c r="K11" s="9">
        <v>0</v>
      </c>
      <c r="L11" s="10">
        <f t="shared" si="1"/>
        <v>39.74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s="12" customFormat="1" ht="16.5" x14ac:dyDescent="0.25">
      <c r="A12" s="4">
        <f t="shared" si="0"/>
        <v>11</v>
      </c>
      <c r="B12" s="5" t="s">
        <v>28</v>
      </c>
      <c r="C12" s="4" t="s">
        <v>29</v>
      </c>
      <c r="D12" s="6" t="s">
        <v>30</v>
      </c>
      <c r="E12" s="7" t="s">
        <v>31</v>
      </c>
      <c r="F12" s="8">
        <v>561</v>
      </c>
      <c r="G12" s="9">
        <f t="shared" si="2"/>
        <v>6732</v>
      </c>
      <c r="H12" s="10">
        <f>(F12/12)*11</f>
        <v>514.25</v>
      </c>
      <c r="I12" s="10">
        <f>(450/360*30)*11</f>
        <v>412.5</v>
      </c>
      <c r="J12" s="9">
        <v>0</v>
      </c>
      <c r="K12" s="9">
        <v>0</v>
      </c>
      <c r="L12" s="10">
        <f>H12+I12+J12+K12</f>
        <v>926.75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s="12" customFormat="1" ht="16.5" x14ac:dyDescent="0.25">
      <c r="A13" s="4">
        <f t="shared" si="0"/>
        <v>12</v>
      </c>
      <c r="B13" s="5" t="s">
        <v>32</v>
      </c>
      <c r="C13" s="4" t="s">
        <v>13</v>
      </c>
      <c r="D13" s="6" t="s">
        <v>14</v>
      </c>
      <c r="E13" s="7" t="s">
        <v>26</v>
      </c>
      <c r="F13" s="8">
        <v>1212</v>
      </c>
      <c r="G13" s="9">
        <f t="shared" si="2"/>
        <v>14544</v>
      </c>
      <c r="H13" s="10">
        <f>(F13/12)*11</f>
        <v>1111</v>
      </c>
      <c r="I13" s="10">
        <f>(450/360*30)*11</f>
        <v>412.5</v>
      </c>
      <c r="J13" s="9">
        <v>0</v>
      </c>
      <c r="K13" s="9">
        <v>0</v>
      </c>
      <c r="L13" s="10">
        <f t="shared" ref="L13:L20" si="3">+SUM(H13:K13)</f>
        <v>1523.5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s="12" customFormat="1" ht="16.5" x14ac:dyDescent="0.25">
      <c r="A14" s="4">
        <f t="shared" si="0"/>
        <v>13</v>
      </c>
      <c r="B14" s="5" t="s">
        <v>16</v>
      </c>
      <c r="C14" s="4" t="s">
        <v>13</v>
      </c>
      <c r="D14" s="6" t="s">
        <v>14</v>
      </c>
      <c r="E14" s="7" t="s">
        <v>17</v>
      </c>
      <c r="F14" s="8">
        <v>733</v>
      </c>
      <c r="G14" s="9">
        <v>8796</v>
      </c>
      <c r="H14" s="10">
        <f>52.94+(61.08*10)</f>
        <v>663.74</v>
      </c>
      <c r="I14" s="10">
        <f>(450/360*26)+(37.5*10)</f>
        <v>407.5</v>
      </c>
      <c r="J14" s="9">
        <v>0</v>
      </c>
      <c r="K14" s="9">
        <v>0</v>
      </c>
      <c r="L14" s="10">
        <f t="shared" si="3"/>
        <v>1071.24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s="12" customFormat="1" ht="16.5" x14ac:dyDescent="0.25">
      <c r="A15" s="4">
        <f t="shared" si="0"/>
        <v>14</v>
      </c>
      <c r="B15" s="5" t="s">
        <v>33</v>
      </c>
      <c r="C15" s="4" t="s">
        <v>13</v>
      </c>
      <c r="D15" s="6" t="s">
        <v>14</v>
      </c>
      <c r="E15" s="7" t="s">
        <v>17</v>
      </c>
      <c r="F15" s="8">
        <v>901</v>
      </c>
      <c r="G15" s="9">
        <f>F15*12</f>
        <v>10812</v>
      </c>
      <c r="H15" s="10">
        <f>((733/12)*3)+((901/12)*9)</f>
        <v>859</v>
      </c>
      <c r="I15" s="10">
        <f>(450/360*30)*11</f>
        <v>412.5</v>
      </c>
      <c r="J15" s="9">
        <v>0</v>
      </c>
      <c r="K15" s="9">
        <v>0</v>
      </c>
      <c r="L15" s="10">
        <f>+SUM(H15:K15)</f>
        <v>1271.5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s="12" customFormat="1" ht="16.5" x14ac:dyDescent="0.25">
      <c r="A16" s="4">
        <f t="shared" si="0"/>
        <v>15</v>
      </c>
      <c r="B16" s="5" t="s">
        <v>34</v>
      </c>
      <c r="C16" s="4" t="s">
        <v>13</v>
      </c>
      <c r="D16" s="6" t="s">
        <v>35</v>
      </c>
      <c r="E16" s="7">
        <v>4</v>
      </c>
      <c r="F16" s="8">
        <v>2700</v>
      </c>
      <c r="G16" s="9">
        <f t="shared" si="2"/>
        <v>32400</v>
      </c>
      <c r="H16" s="10">
        <f>225+225+225+225+225+225+225+225</f>
        <v>1800</v>
      </c>
      <c r="I16" s="10">
        <f>37.5*8</f>
        <v>300</v>
      </c>
      <c r="J16" s="9">
        <v>0</v>
      </c>
      <c r="K16" s="9">
        <v>0</v>
      </c>
      <c r="L16" s="10">
        <f t="shared" si="3"/>
        <v>2100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s="12" customFormat="1" ht="16.5" x14ac:dyDescent="0.25">
      <c r="A17" s="4">
        <f t="shared" si="0"/>
        <v>16</v>
      </c>
      <c r="B17" s="13" t="s">
        <v>12</v>
      </c>
      <c r="C17" s="4" t="s">
        <v>13</v>
      </c>
      <c r="D17" s="6" t="s">
        <v>14</v>
      </c>
      <c r="E17" s="7" t="s">
        <v>15</v>
      </c>
      <c r="F17" s="8">
        <v>622</v>
      </c>
      <c r="G17" s="9">
        <f>F17*2</f>
        <v>1244</v>
      </c>
      <c r="H17" s="10">
        <v>43.19</v>
      </c>
      <c r="I17" s="10">
        <v>31.25</v>
      </c>
      <c r="J17" s="9">
        <v>0</v>
      </c>
      <c r="K17" s="9">
        <v>0</v>
      </c>
      <c r="L17" s="10">
        <f>SUM(H17:K17)</f>
        <v>74.44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s="12" customFormat="1" ht="15.75" customHeight="1" x14ac:dyDescent="0.25">
      <c r="A18" s="4">
        <f t="shared" si="0"/>
        <v>17</v>
      </c>
      <c r="B18" s="14" t="s">
        <v>36</v>
      </c>
      <c r="C18" s="4" t="s">
        <v>13</v>
      </c>
      <c r="D18" s="6" t="s">
        <v>14</v>
      </c>
      <c r="E18" s="7" t="s">
        <v>20</v>
      </c>
      <c r="F18" s="8">
        <v>901</v>
      </c>
      <c r="G18" s="9">
        <f t="shared" si="2"/>
        <v>10812</v>
      </c>
      <c r="H18" s="10">
        <f>(F18/12)*11</f>
        <v>825.91666666666663</v>
      </c>
      <c r="I18" s="10">
        <f>(450/360*30)*11</f>
        <v>412.5</v>
      </c>
      <c r="J18" s="9">
        <v>0</v>
      </c>
      <c r="K18" s="9">
        <v>0</v>
      </c>
      <c r="L18" s="10">
        <f t="shared" si="3"/>
        <v>1238.4166666666665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s="12" customFormat="1" ht="15.75" customHeight="1" x14ac:dyDescent="0.25">
      <c r="A19" s="4">
        <f t="shared" si="0"/>
        <v>18</v>
      </c>
      <c r="B19" s="5" t="s">
        <v>37</v>
      </c>
      <c r="C19" s="4" t="s">
        <v>13</v>
      </c>
      <c r="D19" s="6" t="s">
        <v>38</v>
      </c>
      <c r="E19" s="7" t="s">
        <v>39</v>
      </c>
      <c r="F19" s="8">
        <v>1676</v>
      </c>
      <c r="G19" s="9">
        <f t="shared" si="2"/>
        <v>20112</v>
      </c>
      <c r="H19" s="10">
        <f>(F19/12)*11</f>
        <v>1536.3333333333333</v>
      </c>
      <c r="I19" s="10">
        <f>(450/360*30)*11</f>
        <v>412.5</v>
      </c>
      <c r="J19" s="9">
        <v>0</v>
      </c>
      <c r="K19" s="9">
        <v>0</v>
      </c>
      <c r="L19" s="10">
        <f t="shared" si="3"/>
        <v>1948.8333333333333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s="12" customFormat="1" ht="15.75" customHeight="1" x14ac:dyDescent="0.25">
      <c r="A20" s="4">
        <f t="shared" si="0"/>
        <v>19</v>
      </c>
      <c r="B20" s="5" t="s">
        <v>40</v>
      </c>
      <c r="C20" s="4" t="s">
        <v>13</v>
      </c>
      <c r="D20" s="6" t="s">
        <v>14</v>
      </c>
      <c r="E20" s="15" t="s">
        <v>17</v>
      </c>
      <c r="F20" s="8">
        <v>733</v>
      </c>
      <c r="G20" s="9">
        <f t="shared" si="2"/>
        <v>8796</v>
      </c>
      <c r="H20" s="10">
        <f>(F20/12)*11</f>
        <v>671.91666666666674</v>
      </c>
      <c r="I20" s="10">
        <f>(450/360*30)*11</f>
        <v>412.5</v>
      </c>
      <c r="J20" s="9">
        <v>0</v>
      </c>
      <c r="K20" s="9">
        <v>0</v>
      </c>
      <c r="L20" s="10">
        <f t="shared" si="3"/>
        <v>1084.4166666666667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s="12" customFormat="1" ht="15.75" customHeight="1" x14ac:dyDescent="0.3">
      <c r="A21" s="4">
        <f t="shared" si="0"/>
        <v>20</v>
      </c>
      <c r="B21" s="16" t="s">
        <v>41</v>
      </c>
      <c r="C21" s="4" t="s">
        <v>13</v>
      </c>
      <c r="D21" s="6" t="s">
        <v>14</v>
      </c>
      <c r="E21" s="15" t="s">
        <v>17</v>
      </c>
      <c r="F21" s="8">
        <v>733</v>
      </c>
      <c r="G21" s="9">
        <f>F21*3</f>
        <v>2199</v>
      </c>
      <c r="H21" s="10">
        <f>42.76+(733/12)</f>
        <v>103.84333333333333</v>
      </c>
      <c r="I21" s="10">
        <f>26.25+(450/12)</f>
        <v>63.75</v>
      </c>
      <c r="J21" s="9">
        <v>0</v>
      </c>
      <c r="K21" s="9">
        <v>0</v>
      </c>
      <c r="L21" s="17">
        <f>SUM(H21:K21)</f>
        <v>167.59333333333333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s="12" customFormat="1" ht="15.75" customHeight="1" x14ac:dyDescent="0.25">
      <c r="A22" s="4">
        <f t="shared" si="0"/>
        <v>21</v>
      </c>
      <c r="B22" s="5" t="s">
        <v>42</v>
      </c>
      <c r="C22" s="4" t="s">
        <v>29</v>
      </c>
      <c r="D22" s="6" t="s">
        <v>30</v>
      </c>
      <c r="E22" s="15" t="s">
        <v>31</v>
      </c>
      <c r="F22" s="8">
        <v>561</v>
      </c>
      <c r="G22" s="9">
        <f t="shared" ref="G22:G25" si="4">F22*12</f>
        <v>6732</v>
      </c>
      <c r="H22" s="10">
        <f>(F22/12)*11</f>
        <v>514.25</v>
      </c>
      <c r="I22" s="10">
        <f>(450/360*30)*11</f>
        <v>412.5</v>
      </c>
      <c r="J22" s="9">
        <v>0</v>
      </c>
      <c r="K22" s="9">
        <v>0</v>
      </c>
      <c r="L22" s="10">
        <f t="shared" ref="L22:L25" si="5">+SUM(H22:K22)</f>
        <v>926.75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s="12" customFormat="1" ht="15.75" customHeight="1" x14ac:dyDescent="0.25">
      <c r="A23" s="4">
        <f t="shared" si="0"/>
        <v>22</v>
      </c>
      <c r="B23" s="5" t="s">
        <v>43</v>
      </c>
      <c r="C23" s="4" t="s">
        <v>13</v>
      </c>
      <c r="D23" s="6" t="s">
        <v>35</v>
      </c>
      <c r="E23" s="15">
        <v>5</v>
      </c>
      <c r="F23" s="8">
        <v>2700</v>
      </c>
      <c r="G23" s="9">
        <f t="shared" si="4"/>
        <v>32400</v>
      </c>
      <c r="H23" s="10">
        <f>2430/12+(225*6)</f>
        <v>1552.5</v>
      </c>
      <c r="I23" s="10">
        <f>450/360*27+(37.5*6)</f>
        <v>258.75</v>
      </c>
      <c r="J23" s="9">
        <v>0</v>
      </c>
      <c r="K23" s="9">
        <v>0</v>
      </c>
      <c r="L23" s="10">
        <f t="shared" si="5"/>
        <v>1811.25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s="12" customFormat="1" ht="15.75" customHeight="1" x14ac:dyDescent="0.25">
      <c r="A24" s="4">
        <f t="shared" si="0"/>
        <v>23</v>
      </c>
      <c r="B24" s="13" t="s">
        <v>12</v>
      </c>
      <c r="C24" s="4" t="s">
        <v>13</v>
      </c>
      <c r="D24" s="6" t="s">
        <v>14</v>
      </c>
      <c r="E24" s="7" t="s">
        <v>15</v>
      </c>
      <c r="F24" s="8">
        <v>622</v>
      </c>
      <c r="G24" s="9">
        <f>F24*2</f>
        <v>1244</v>
      </c>
      <c r="H24" s="10">
        <v>43.19</v>
      </c>
      <c r="I24" s="10">
        <v>31.25</v>
      </c>
      <c r="J24" s="9">
        <v>0</v>
      </c>
      <c r="K24" s="9">
        <v>0</v>
      </c>
      <c r="L24" s="10">
        <f>SUM(H24:K24)</f>
        <v>74.44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s="12" customFormat="1" ht="15.75" customHeight="1" x14ac:dyDescent="0.25">
      <c r="A25" s="4">
        <f>1+A24</f>
        <v>24</v>
      </c>
      <c r="B25" s="5" t="s">
        <v>44</v>
      </c>
      <c r="C25" s="4" t="s">
        <v>13</v>
      </c>
      <c r="D25" s="6" t="s">
        <v>35</v>
      </c>
      <c r="E25" s="7">
        <v>5</v>
      </c>
      <c r="F25" s="8">
        <v>2700</v>
      </c>
      <c r="G25" s="9">
        <f t="shared" si="4"/>
        <v>32400</v>
      </c>
      <c r="H25" s="10">
        <f>(F25/12)*11</f>
        <v>2475</v>
      </c>
      <c r="I25" s="10">
        <f>(450/360*30)*11</f>
        <v>412.5</v>
      </c>
      <c r="J25" s="9">
        <v>0</v>
      </c>
      <c r="K25" s="9">
        <v>0</v>
      </c>
      <c r="L25" s="10">
        <f t="shared" si="5"/>
        <v>2887.5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s="12" customFormat="1" ht="15.75" customHeight="1" x14ac:dyDescent="0.25">
      <c r="A26" s="4">
        <f t="shared" si="0"/>
        <v>25</v>
      </c>
      <c r="B26" s="5" t="s">
        <v>45</v>
      </c>
      <c r="C26" s="4" t="s">
        <v>13</v>
      </c>
      <c r="D26" s="6" t="s">
        <v>14</v>
      </c>
      <c r="E26" s="7" t="s">
        <v>20</v>
      </c>
      <c r="F26" s="8">
        <v>901</v>
      </c>
      <c r="G26" s="9">
        <f>F26*3</f>
        <v>2703</v>
      </c>
      <c r="H26" s="10">
        <f>F26/12*2</f>
        <v>150.16666666666666</v>
      </c>
      <c r="I26" s="10" t="s">
        <v>46</v>
      </c>
      <c r="J26" s="9">
        <v>0</v>
      </c>
      <c r="K26" s="9">
        <v>0</v>
      </c>
      <c r="L26" s="10">
        <f>SUM(H26:I26)</f>
        <v>150.16666666666666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s="12" customFormat="1" ht="15.75" customHeight="1" x14ac:dyDescent="0.25">
      <c r="A27" s="4">
        <f t="shared" si="0"/>
        <v>26</v>
      </c>
      <c r="B27" s="5" t="s">
        <v>21</v>
      </c>
      <c r="C27" s="4" t="s">
        <v>13</v>
      </c>
      <c r="D27" s="6" t="s">
        <v>14</v>
      </c>
      <c r="E27" s="7" t="s">
        <v>20</v>
      </c>
      <c r="F27" s="8">
        <v>901</v>
      </c>
      <c r="G27" s="9">
        <f>F27*12</f>
        <v>10812</v>
      </c>
      <c r="H27" s="10">
        <f>(F27/12)*11</f>
        <v>825.91666666666663</v>
      </c>
      <c r="I27" s="10">
        <f>(450/360*30)*11</f>
        <v>412.5</v>
      </c>
      <c r="J27" s="9">
        <v>0</v>
      </c>
      <c r="K27" s="9">
        <v>0</v>
      </c>
      <c r="L27" s="10">
        <f>+SUM(H27:K27)</f>
        <v>1238.4166666666665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s="12" customFormat="1" ht="15.75" customHeight="1" x14ac:dyDescent="0.25">
      <c r="A28" s="4">
        <f t="shared" si="0"/>
        <v>27</v>
      </c>
      <c r="B28" s="5" t="s">
        <v>47</v>
      </c>
      <c r="C28" s="4" t="s">
        <v>13</v>
      </c>
      <c r="D28" s="6" t="s">
        <v>14</v>
      </c>
      <c r="E28" s="7" t="s">
        <v>20</v>
      </c>
      <c r="F28" s="8">
        <v>622</v>
      </c>
      <c r="G28" s="15">
        <f>(622*4)+331.73</f>
        <v>2819.73</v>
      </c>
      <c r="H28" s="18">
        <f>27.64+51.83*3</f>
        <v>183.13</v>
      </c>
      <c r="I28" s="10">
        <f>20+37.5*3</f>
        <v>132.5</v>
      </c>
      <c r="J28" s="15">
        <v>0</v>
      </c>
      <c r="K28" s="15">
        <v>0</v>
      </c>
      <c r="L28" s="18">
        <f>H28+I28</f>
        <v>315.63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s="12" customFormat="1" ht="15.75" customHeight="1" x14ac:dyDescent="0.25">
      <c r="A29" s="4">
        <f t="shared" si="0"/>
        <v>28</v>
      </c>
      <c r="B29" s="5" t="s">
        <v>48</v>
      </c>
      <c r="C29" s="4" t="s">
        <v>13</v>
      </c>
      <c r="D29" s="6" t="s">
        <v>14</v>
      </c>
      <c r="E29" s="7" t="s">
        <v>49</v>
      </c>
      <c r="F29" s="8">
        <v>817</v>
      </c>
      <c r="G29" s="9">
        <f t="shared" ref="G29:G78" si="6">F29*12</f>
        <v>9804</v>
      </c>
      <c r="H29" s="10">
        <f>F29/12*11</f>
        <v>748.91666666666663</v>
      </c>
      <c r="I29" s="10">
        <f>(450/360*30)*11</f>
        <v>412.5</v>
      </c>
      <c r="J29" s="9">
        <v>0</v>
      </c>
      <c r="K29" s="9">
        <v>0</v>
      </c>
      <c r="L29" s="10">
        <f t="shared" ref="L29:L49" si="7">+SUM(H29:K29)</f>
        <v>1161.4166666666665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s="12" customFormat="1" ht="15.75" customHeight="1" x14ac:dyDescent="0.25">
      <c r="A30" s="4">
        <f t="shared" si="0"/>
        <v>29</v>
      </c>
      <c r="B30" s="5" t="s">
        <v>47</v>
      </c>
      <c r="C30" s="4" t="s">
        <v>13</v>
      </c>
      <c r="D30" s="6" t="s">
        <v>14</v>
      </c>
      <c r="E30" s="7" t="s">
        <v>20</v>
      </c>
      <c r="F30" s="8">
        <v>622</v>
      </c>
      <c r="G30" s="9">
        <f t="shared" si="6"/>
        <v>7464</v>
      </c>
      <c r="H30" s="10">
        <f>F30/12*3</f>
        <v>155.5</v>
      </c>
      <c r="I30" s="10">
        <f>450/12*3</f>
        <v>112.5</v>
      </c>
      <c r="J30" s="9">
        <v>0</v>
      </c>
      <c r="K30" s="9">
        <v>0</v>
      </c>
      <c r="L30" s="10">
        <f t="shared" si="7"/>
        <v>268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s="12" customFormat="1" ht="15.75" customHeight="1" x14ac:dyDescent="0.25">
      <c r="A31" s="4">
        <f t="shared" si="0"/>
        <v>30</v>
      </c>
      <c r="B31" s="13" t="s">
        <v>12</v>
      </c>
      <c r="C31" s="4" t="s">
        <v>13</v>
      </c>
      <c r="D31" s="6" t="s">
        <v>14</v>
      </c>
      <c r="E31" s="7" t="s">
        <v>15</v>
      </c>
      <c r="F31" s="8">
        <v>622</v>
      </c>
      <c r="G31" s="9">
        <f>F31*2</f>
        <v>1244</v>
      </c>
      <c r="H31" s="10">
        <v>43.19</v>
      </c>
      <c r="I31" s="10">
        <v>31.25</v>
      </c>
      <c r="J31" s="9">
        <v>0</v>
      </c>
      <c r="K31" s="9">
        <v>0</v>
      </c>
      <c r="L31" s="10">
        <f>SUM(H31:K31)</f>
        <v>74.44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s="12" customFormat="1" ht="15.75" customHeight="1" x14ac:dyDescent="0.25">
      <c r="A32" s="4">
        <f t="shared" si="0"/>
        <v>31</v>
      </c>
      <c r="B32" s="5" t="s">
        <v>50</v>
      </c>
      <c r="C32" s="4" t="s">
        <v>13</v>
      </c>
      <c r="D32" s="6" t="s">
        <v>14</v>
      </c>
      <c r="E32" s="7" t="s">
        <v>20</v>
      </c>
      <c r="F32" s="8">
        <v>901</v>
      </c>
      <c r="G32" s="9">
        <f t="shared" si="6"/>
        <v>10812</v>
      </c>
      <c r="H32" s="10">
        <f>F32/12*11</f>
        <v>825.91666666666663</v>
      </c>
      <c r="I32" s="10">
        <f>(450/360*30)*11</f>
        <v>412.5</v>
      </c>
      <c r="J32" s="9">
        <v>0</v>
      </c>
      <c r="K32" s="9">
        <v>0</v>
      </c>
      <c r="L32" s="10">
        <f t="shared" si="7"/>
        <v>1238.4166666666665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s="12" customFormat="1" ht="15.75" customHeight="1" x14ac:dyDescent="0.25">
      <c r="A33" s="4">
        <f t="shared" si="0"/>
        <v>32</v>
      </c>
      <c r="B33" s="5" t="s">
        <v>51</v>
      </c>
      <c r="C33" s="4" t="s">
        <v>13</v>
      </c>
      <c r="D33" s="6" t="s">
        <v>38</v>
      </c>
      <c r="E33" s="7" t="s">
        <v>52</v>
      </c>
      <c r="F33" s="8">
        <v>1086</v>
      </c>
      <c r="G33" s="9">
        <v>13032</v>
      </c>
      <c r="H33" s="10">
        <f>78.43+(90.5*10)</f>
        <v>983.43000000000006</v>
      </c>
      <c r="I33" s="10">
        <f>(450/360*26)+(37.5*10)</f>
        <v>407.5</v>
      </c>
      <c r="J33" s="9">
        <v>0</v>
      </c>
      <c r="K33" s="9">
        <v>0</v>
      </c>
      <c r="L33" s="10">
        <f t="shared" si="7"/>
        <v>1390.93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s="12" customFormat="1" ht="15.75" customHeight="1" x14ac:dyDescent="0.25">
      <c r="A34" s="4">
        <f t="shared" si="0"/>
        <v>33</v>
      </c>
      <c r="B34" s="5" t="s">
        <v>16</v>
      </c>
      <c r="C34" s="4" t="s">
        <v>13</v>
      </c>
      <c r="D34" s="6" t="s">
        <v>14</v>
      </c>
      <c r="E34" s="7" t="s">
        <v>17</v>
      </c>
      <c r="F34" s="8">
        <v>733</v>
      </c>
      <c r="G34" s="9">
        <f t="shared" si="6"/>
        <v>8796</v>
      </c>
      <c r="H34" s="10">
        <f>F34/12*11</f>
        <v>671.91666666666674</v>
      </c>
      <c r="I34" s="10">
        <f>(450/360*30)*11</f>
        <v>412.5</v>
      </c>
      <c r="J34" s="9">
        <v>0</v>
      </c>
      <c r="K34" s="9">
        <v>0</v>
      </c>
      <c r="L34" s="10">
        <f t="shared" si="7"/>
        <v>1084.4166666666667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s="12" customFormat="1" ht="15.75" customHeight="1" x14ac:dyDescent="0.3">
      <c r="A35" s="4">
        <f t="shared" si="0"/>
        <v>34</v>
      </c>
      <c r="B35" s="19" t="s">
        <v>53</v>
      </c>
      <c r="C35" s="4" t="s">
        <v>13</v>
      </c>
      <c r="D35" s="6" t="s">
        <v>14</v>
      </c>
      <c r="E35" s="7" t="s">
        <v>17</v>
      </c>
      <c r="F35" s="8">
        <v>733</v>
      </c>
      <c r="G35" s="9">
        <f t="shared" si="6"/>
        <v>8796</v>
      </c>
      <c r="H35" s="10">
        <f>F35/12*10</f>
        <v>610.83333333333337</v>
      </c>
      <c r="I35" s="10">
        <f>(450/360*30)*10</f>
        <v>375</v>
      </c>
      <c r="J35" s="9">
        <v>0</v>
      </c>
      <c r="K35" s="9">
        <v>0</v>
      </c>
      <c r="L35" s="10">
        <f t="shared" ref="L35:L37" si="8">+SUM(H35:K35)</f>
        <v>985.83333333333337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s="12" customFormat="1" ht="15.75" customHeight="1" x14ac:dyDescent="0.3">
      <c r="A36" s="4">
        <f t="shared" si="0"/>
        <v>35</v>
      </c>
      <c r="B36" s="19" t="s">
        <v>54</v>
      </c>
      <c r="C36" s="4" t="s">
        <v>13</v>
      </c>
      <c r="D36" s="6" t="s">
        <v>14</v>
      </c>
      <c r="E36" s="7" t="s">
        <v>17</v>
      </c>
      <c r="F36" s="8">
        <v>733</v>
      </c>
      <c r="G36" s="9">
        <f>F36*4</f>
        <v>2932</v>
      </c>
      <c r="H36" s="10">
        <f>46.83+61.08+61.08</f>
        <v>168.99</v>
      </c>
      <c r="I36" s="10">
        <f>28.75+37.5*2</f>
        <v>103.75</v>
      </c>
      <c r="J36" s="9">
        <v>0</v>
      </c>
      <c r="K36" s="9">
        <v>0</v>
      </c>
      <c r="L36" s="10">
        <f>SUM(H36:K36)</f>
        <v>272.74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s="12" customFormat="1" ht="15.75" customHeight="1" x14ac:dyDescent="0.25">
      <c r="A37" s="4">
        <f t="shared" si="0"/>
        <v>36</v>
      </c>
      <c r="B37" s="5" t="s">
        <v>55</v>
      </c>
      <c r="C37" s="4" t="s">
        <v>13</v>
      </c>
      <c r="D37" s="6" t="s">
        <v>14</v>
      </c>
      <c r="E37" s="7" t="s">
        <v>20</v>
      </c>
      <c r="F37" s="8">
        <v>901</v>
      </c>
      <c r="G37" s="9">
        <f t="shared" si="6"/>
        <v>10812</v>
      </c>
      <c r="H37" s="10">
        <f>(810.9/12)+75.08*6</f>
        <v>518.05500000000006</v>
      </c>
      <c r="I37" s="10">
        <f>450/360*27+(37.5*6)</f>
        <v>258.75</v>
      </c>
      <c r="J37" s="9">
        <v>0</v>
      </c>
      <c r="K37" s="9">
        <v>0</v>
      </c>
      <c r="L37" s="10">
        <f t="shared" si="8"/>
        <v>776.80500000000006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s="12" customFormat="1" ht="15.75" customHeight="1" x14ac:dyDescent="0.25">
      <c r="A38" s="4">
        <f t="shared" si="0"/>
        <v>37</v>
      </c>
      <c r="B38" s="5" t="s">
        <v>56</v>
      </c>
      <c r="C38" s="4" t="s">
        <v>13</v>
      </c>
      <c r="D38" s="6" t="s">
        <v>14</v>
      </c>
      <c r="E38" s="7" t="s">
        <v>26</v>
      </c>
      <c r="F38" s="8">
        <v>1212</v>
      </c>
      <c r="G38" s="9">
        <f t="shared" si="6"/>
        <v>14544</v>
      </c>
      <c r="H38" s="10">
        <f>F38/12*7</f>
        <v>707</v>
      </c>
      <c r="I38" s="10">
        <f>37.5*7</f>
        <v>262.5</v>
      </c>
      <c r="J38" s="9">
        <v>0</v>
      </c>
      <c r="K38" s="9">
        <v>0</v>
      </c>
      <c r="L38" s="10">
        <f>+SUM(H38:K38)</f>
        <v>969.5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s="12" customFormat="1" ht="15.75" customHeight="1" x14ac:dyDescent="0.25">
      <c r="A39" s="4">
        <f t="shared" si="0"/>
        <v>38</v>
      </c>
      <c r="B39" s="5" t="s">
        <v>57</v>
      </c>
      <c r="C39" s="4" t="s">
        <v>13</v>
      </c>
      <c r="D39" s="6" t="s">
        <v>14</v>
      </c>
      <c r="E39" s="7" t="s">
        <v>20</v>
      </c>
      <c r="F39" s="8">
        <v>901</v>
      </c>
      <c r="G39" s="9">
        <f t="shared" si="6"/>
        <v>10812</v>
      </c>
      <c r="H39" s="10">
        <f>F39/12*11</f>
        <v>825.91666666666663</v>
      </c>
      <c r="I39" s="10">
        <f>(450/360*30)*11</f>
        <v>412.5</v>
      </c>
      <c r="J39" s="9">
        <v>0</v>
      </c>
      <c r="K39" s="9">
        <v>0</v>
      </c>
      <c r="L39" s="10">
        <f t="shared" si="7"/>
        <v>1238.4166666666665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s="12" customFormat="1" ht="15.75" customHeight="1" x14ac:dyDescent="0.25">
      <c r="A40" s="4">
        <f t="shared" si="0"/>
        <v>39</v>
      </c>
      <c r="B40" s="5" t="s">
        <v>58</v>
      </c>
      <c r="C40" s="4" t="s">
        <v>13</v>
      </c>
      <c r="D40" s="6" t="s">
        <v>35</v>
      </c>
      <c r="E40" s="7">
        <v>10</v>
      </c>
      <c r="F40" s="8">
        <v>5150</v>
      </c>
      <c r="G40" s="9">
        <f t="shared" si="6"/>
        <v>61800</v>
      </c>
      <c r="H40" s="10">
        <f>F40/12*11</f>
        <v>4720.8333333333339</v>
      </c>
      <c r="I40" s="10">
        <f>(450/360*30)*11</f>
        <v>412.5</v>
      </c>
      <c r="J40" s="9">
        <v>0</v>
      </c>
      <c r="K40" s="9">
        <v>0</v>
      </c>
      <c r="L40" s="10">
        <f t="shared" si="7"/>
        <v>5133.3333333333339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s="12" customFormat="1" ht="15.75" customHeight="1" x14ac:dyDescent="0.25">
      <c r="A41" s="4">
        <f t="shared" si="0"/>
        <v>40</v>
      </c>
      <c r="B41" s="5" t="s">
        <v>59</v>
      </c>
      <c r="C41" s="4" t="s">
        <v>13</v>
      </c>
      <c r="D41" s="6" t="s">
        <v>35</v>
      </c>
      <c r="E41" s="7">
        <v>3</v>
      </c>
      <c r="F41" s="8">
        <v>2700</v>
      </c>
      <c r="G41" s="9">
        <v>32400</v>
      </c>
      <c r="H41" s="10">
        <f>90+(225*11)</f>
        <v>2565</v>
      </c>
      <c r="I41" s="10">
        <f>450/360*12+(37.5*10)</f>
        <v>390</v>
      </c>
      <c r="J41" s="9">
        <v>0</v>
      </c>
      <c r="K41" s="9">
        <v>0</v>
      </c>
      <c r="L41" s="10">
        <f t="shared" si="7"/>
        <v>2955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s="12" customFormat="1" ht="15.75" customHeight="1" x14ac:dyDescent="0.25">
      <c r="A42" s="4">
        <f t="shared" si="0"/>
        <v>41</v>
      </c>
      <c r="B42" s="5" t="s">
        <v>60</v>
      </c>
      <c r="C42" s="4" t="s">
        <v>13</v>
      </c>
      <c r="D42" s="6" t="s">
        <v>14</v>
      </c>
      <c r="E42" s="7" t="s">
        <v>20</v>
      </c>
      <c r="F42" s="8">
        <v>901</v>
      </c>
      <c r="G42" s="9">
        <f t="shared" si="6"/>
        <v>10812</v>
      </c>
      <c r="H42" s="10">
        <f>F42/12*11</f>
        <v>825.91666666666663</v>
      </c>
      <c r="I42" s="10">
        <f>(450/360*30)*10</f>
        <v>375</v>
      </c>
      <c r="J42" s="9">
        <v>0</v>
      </c>
      <c r="K42" s="9">
        <v>0</v>
      </c>
      <c r="L42" s="10">
        <f t="shared" si="7"/>
        <v>1200.9166666666665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s="12" customFormat="1" ht="15.75" customHeight="1" x14ac:dyDescent="0.25">
      <c r="A43" s="4">
        <f t="shared" si="0"/>
        <v>42</v>
      </c>
      <c r="B43" s="5" t="s">
        <v>61</v>
      </c>
      <c r="C43" s="4" t="s">
        <v>13</v>
      </c>
      <c r="D43" s="6" t="s">
        <v>14</v>
      </c>
      <c r="E43" s="7" t="s">
        <v>62</v>
      </c>
      <c r="F43" s="8">
        <v>585</v>
      </c>
      <c r="G43" s="9">
        <f t="shared" si="6"/>
        <v>7020</v>
      </c>
      <c r="H43" s="10">
        <f>48.75*8</f>
        <v>390</v>
      </c>
      <c r="I43" s="10">
        <f>37.5*8</f>
        <v>300</v>
      </c>
      <c r="J43" s="9">
        <v>0</v>
      </c>
      <c r="K43" s="9">
        <v>0</v>
      </c>
      <c r="L43" s="10">
        <f t="shared" si="7"/>
        <v>690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s="12" customFormat="1" ht="15.75" customHeight="1" x14ac:dyDescent="0.25">
      <c r="A44" s="4">
        <f t="shared" si="0"/>
        <v>43</v>
      </c>
      <c r="B44" s="5" t="s">
        <v>63</v>
      </c>
      <c r="C44" s="4" t="s">
        <v>13</v>
      </c>
      <c r="D44" s="6" t="s">
        <v>14</v>
      </c>
      <c r="E44" s="7" t="s">
        <v>39</v>
      </c>
      <c r="F44" s="8">
        <v>1676</v>
      </c>
      <c r="G44" s="9">
        <f t="shared" si="6"/>
        <v>20112</v>
      </c>
      <c r="H44" s="10">
        <f>F44/12*11</f>
        <v>1536.3333333333333</v>
      </c>
      <c r="I44" s="10">
        <f>(450/360*30)*11</f>
        <v>412.5</v>
      </c>
      <c r="J44" s="9">
        <v>0</v>
      </c>
      <c r="K44" s="9">
        <v>0</v>
      </c>
      <c r="L44" s="10">
        <f t="shared" si="7"/>
        <v>1948.8333333333333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s="12" customFormat="1" ht="15.75" customHeight="1" x14ac:dyDescent="0.25">
      <c r="A45" s="4">
        <f t="shared" si="0"/>
        <v>44</v>
      </c>
      <c r="B45" s="5" t="s">
        <v>64</v>
      </c>
      <c r="C45" s="4" t="s">
        <v>13</v>
      </c>
      <c r="D45" s="6" t="s">
        <v>38</v>
      </c>
      <c r="E45" s="7" t="s">
        <v>52</v>
      </c>
      <c r="F45" s="8">
        <v>1086</v>
      </c>
      <c r="G45" s="9">
        <f t="shared" si="6"/>
        <v>13032</v>
      </c>
      <c r="H45" s="10">
        <f>F45/12*11</f>
        <v>995.5</v>
      </c>
      <c r="I45" s="10">
        <f>(450/360*30)*11</f>
        <v>412.5</v>
      </c>
      <c r="J45" s="9">
        <v>0</v>
      </c>
      <c r="K45" s="9">
        <v>0</v>
      </c>
      <c r="L45" s="10">
        <f t="shared" si="7"/>
        <v>1408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s="12" customFormat="1" ht="15.75" customHeight="1" x14ac:dyDescent="0.25">
      <c r="A46" s="4">
        <f t="shared" si="0"/>
        <v>45</v>
      </c>
      <c r="B46" s="5" t="s">
        <v>48</v>
      </c>
      <c r="C46" s="4" t="s">
        <v>13</v>
      </c>
      <c r="D46" s="6" t="s">
        <v>14</v>
      </c>
      <c r="E46" s="7" t="s">
        <v>49</v>
      </c>
      <c r="F46" s="8">
        <v>817</v>
      </c>
      <c r="G46" s="9">
        <f t="shared" si="6"/>
        <v>9804</v>
      </c>
      <c r="H46" s="10">
        <f>F46/12*11</f>
        <v>748.91666666666663</v>
      </c>
      <c r="I46" s="10">
        <f>(450/360*30)*11</f>
        <v>412.5</v>
      </c>
      <c r="J46" s="9">
        <v>0</v>
      </c>
      <c r="K46" s="9">
        <v>0</v>
      </c>
      <c r="L46" s="10">
        <f t="shared" si="7"/>
        <v>1161.4166666666665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s="12" customFormat="1" ht="15.75" customHeight="1" x14ac:dyDescent="0.25">
      <c r="A47" s="4">
        <f t="shared" si="0"/>
        <v>46</v>
      </c>
      <c r="B47" s="5" t="s">
        <v>28</v>
      </c>
      <c r="C47" s="4" t="s">
        <v>29</v>
      </c>
      <c r="D47" s="6" t="s">
        <v>30</v>
      </c>
      <c r="E47" s="7" t="s">
        <v>31</v>
      </c>
      <c r="F47" s="8">
        <v>561</v>
      </c>
      <c r="G47" s="9">
        <f t="shared" si="6"/>
        <v>6732</v>
      </c>
      <c r="H47" s="10">
        <f>F47/12*11</f>
        <v>514.25</v>
      </c>
      <c r="I47" s="10">
        <f>(450/360*30)*11</f>
        <v>412.5</v>
      </c>
      <c r="J47" s="9">
        <v>0</v>
      </c>
      <c r="K47" s="9">
        <v>0</v>
      </c>
      <c r="L47" s="10">
        <f t="shared" si="7"/>
        <v>926.75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s="22" customFormat="1" ht="15.75" customHeight="1" x14ac:dyDescent="0.25">
      <c r="A48" s="15">
        <f t="shared" si="0"/>
        <v>47</v>
      </c>
      <c r="B48" s="5" t="s">
        <v>12</v>
      </c>
      <c r="C48" s="15" t="s">
        <v>13</v>
      </c>
      <c r="D48" s="6" t="s">
        <v>14</v>
      </c>
      <c r="E48" s="7" t="s">
        <v>15</v>
      </c>
      <c r="F48" s="20">
        <v>622</v>
      </c>
      <c r="G48" s="21">
        <f>F48*2</f>
        <v>1244</v>
      </c>
      <c r="H48" s="10">
        <v>43.19</v>
      </c>
      <c r="I48" s="10">
        <v>31.25</v>
      </c>
      <c r="J48" s="21">
        <v>0</v>
      </c>
      <c r="K48" s="21">
        <v>0</v>
      </c>
      <c r="L48" s="10">
        <f>SUM(H48:K48)</f>
        <v>74.44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s="12" customFormat="1" ht="15.75" customHeight="1" x14ac:dyDescent="0.25">
      <c r="A49" s="4">
        <f t="shared" si="0"/>
        <v>48</v>
      </c>
      <c r="B49" s="5" t="s">
        <v>65</v>
      </c>
      <c r="C49" s="4" t="s">
        <v>13</v>
      </c>
      <c r="D49" s="6" t="s">
        <v>35</v>
      </c>
      <c r="E49" s="7">
        <v>5</v>
      </c>
      <c r="F49" s="8">
        <v>2700</v>
      </c>
      <c r="G49" s="9">
        <f t="shared" si="6"/>
        <v>32400</v>
      </c>
      <c r="H49" s="10">
        <f>F49/12*11</f>
        <v>2475</v>
      </c>
      <c r="I49" s="10">
        <f>(450/360*30)*11</f>
        <v>412.5</v>
      </c>
      <c r="J49" s="9">
        <v>0</v>
      </c>
      <c r="K49" s="9">
        <v>0</v>
      </c>
      <c r="L49" s="10">
        <f t="shared" si="7"/>
        <v>2887.5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s="12" customFormat="1" ht="15.75" customHeight="1" x14ac:dyDescent="0.25">
      <c r="A50" s="4">
        <f t="shared" si="0"/>
        <v>49</v>
      </c>
      <c r="B50" s="5" t="s">
        <v>66</v>
      </c>
      <c r="C50" s="4" t="s">
        <v>13</v>
      </c>
      <c r="D50" s="6" t="s">
        <v>14</v>
      </c>
      <c r="E50" s="7" t="s">
        <v>17</v>
      </c>
      <c r="F50" s="8">
        <v>733</v>
      </c>
      <c r="G50" s="9">
        <v>8796</v>
      </c>
      <c r="H50" s="10">
        <f>30.54+(61.08*11)</f>
        <v>702.42</v>
      </c>
      <c r="I50" s="10">
        <f>450/360*15+(37.5*10)</f>
        <v>393.75</v>
      </c>
      <c r="J50" s="9">
        <v>0</v>
      </c>
      <c r="K50" s="9">
        <v>0</v>
      </c>
      <c r="L50" s="10">
        <f t="shared" ref="L50:L84" si="9">+SUM(H50:K50)</f>
        <v>1096.17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s="12" customFormat="1" ht="15.75" customHeight="1" x14ac:dyDescent="0.25">
      <c r="A51" s="4">
        <f t="shared" si="0"/>
        <v>50</v>
      </c>
      <c r="B51" s="5" t="s">
        <v>21</v>
      </c>
      <c r="C51" s="4" t="s">
        <v>13</v>
      </c>
      <c r="D51" s="6" t="s">
        <v>14</v>
      </c>
      <c r="E51" s="7" t="s">
        <v>20</v>
      </c>
      <c r="F51" s="8">
        <v>901</v>
      </c>
      <c r="G51" s="9">
        <f t="shared" si="6"/>
        <v>10812</v>
      </c>
      <c r="H51" s="10">
        <f>F51/12*11</f>
        <v>825.91666666666663</v>
      </c>
      <c r="I51" s="10">
        <f t="shared" ref="I51:I58" si="10">(450/360*30)*11</f>
        <v>412.5</v>
      </c>
      <c r="J51" s="9">
        <v>0</v>
      </c>
      <c r="K51" s="9">
        <v>0</v>
      </c>
      <c r="L51" s="10">
        <f t="shared" si="9"/>
        <v>1238.4166666666665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s="12" customFormat="1" ht="15.75" customHeight="1" x14ac:dyDescent="0.25">
      <c r="A52" s="4">
        <f t="shared" si="0"/>
        <v>51</v>
      </c>
      <c r="B52" s="5" t="s">
        <v>67</v>
      </c>
      <c r="C52" s="4" t="s">
        <v>13</v>
      </c>
      <c r="D52" s="6" t="s">
        <v>14</v>
      </c>
      <c r="E52" s="7" t="s">
        <v>26</v>
      </c>
      <c r="F52" s="8">
        <v>1212</v>
      </c>
      <c r="G52" s="9">
        <f t="shared" si="6"/>
        <v>14544</v>
      </c>
      <c r="H52" s="10">
        <f>F52/12*11</f>
        <v>1111</v>
      </c>
      <c r="I52" s="10">
        <f t="shared" si="10"/>
        <v>412.5</v>
      </c>
      <c r="J52" s="9">
        <v>0</v>
      </c>
      <c r="K52" s="9">
        <v>0</v>
      </c>
      <c r="L52" s="10">
        <f t="shared" si="9"/>
        <v>1523.5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s="12" customFormat="1" ht="15.75" customHeight="1" x14ac:dyDescent="0.25">
      <c r="A53" s="4">
        <f t="shared" si="0"/>
        <v>52</v>
      </c>
      <c r="B53" s="5" t="s">
        <v>68</v>
      </c>
      <c r="C53" s="4" t="s">
        <v>13</v>
      </c>
      <c r="D53" s="6" t="s">
        <v>14</v>
      </c>
      <c r="E53" s="7" t="s">
        <v>39</v>
      </c>
      <c r="F53" s="8">
        <v>1676</v>
      </c>
      <c r="G53" s="9">
        <f t="shared" si="6"/>
        <v>20112</v>
      </c>
      <c r="H53" s="10">
        <f>F53/12*11</f>
        <v>1536.3333333333333</v>
      </c>
      <c r="I53" s="10">
        <f t="shared" si="10"/>
        <v>412.5</v>
      </c>
      <c r="J53" s="9">
        <v>0</v>
      </c>
      <c r="K53" s="9">
        <v>0</v>
      </c>
      <c r="L53" s="10">
        <f t="shared" si="9"/>
        <v>1948.8333333333333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s="12" customFormat="1" ht="15.75" customHeight="1" x14ac:dyDescent="0.25">
      <c r="A54" s="4">
        <v>53</v>
      </c>
      <c r="B54" s="5" t="s">
        <v>69</v>
      </c>
      <c r="C54" s="4" t="s">
        <v>13</v>
      </c>
      <c r="D54" s="6" t="s">
        <v>30</v>
      </c>
      <c r="E54" s="7" t="s">
        <v>31</v>
      </c>
      <c r="F54" s="8">
        <v>1212</v>
      </c>
      <c r="G54" s="9">
        <f>F54*12</f>
        <v>14544</v>
      </c>
      <c r="H54" s="10">
        <f>(F54/12)*11</f>
        <v>1111</v>
      </c>
      <c r="I54" s="10">
        <f t="shared" si="10"/>
        <v>412.5</v>
      </c>
      <c r="J54" s="9">
        <v>0</v>
      </c>
      <c r="K54" s="9">
        <v>0</v>
      </c>
      <c r="L54" s="10">
        <f>+SUM(H54:K54)</f>
        <v>1523.5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s="12" customFormat="1" ht="15.75" customHeight="1" x14ac:dyDescent="0.25">
      <c r="A55" s="4">
        <v>54</v>
      </c>
      <c r="B55" s="5" t="s">
        <v>70</v>
      </c>
      <c r="C55" s="4" t="s">
        <v>13</v>
      </c>
      <c r="D55" s="6" t="s">
        <v>14</v>
      </c>
      <c r="E55" s="7" t="s">
        <v>49</v>
      </c>
      <c r="F55" s="8">
        <v>817</v>
      </c>
      <c r="G55" s="9">
        <f t="shared" si="6"/>
        <v>9804</v>
      </c>
      <c r="H55" s="10">
        <f>F55/12*11</f>
        <v>748.91666666666663</v>
      </c>
      <c r="I55" s="10">
        <f t="shared" si="10"/>
        <v>412.5</v>
      </c>
      <c r="J55" s="9">
        <v>0</v>
      </c>
      <c r="K55" s="9">
        <v>0</v>
      </c>
      <c r="L55" s="10">
        <f t="shared" si="9"/>
        <v>1161.4166666666665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s="12" customFormat="1" ht="15.75" customHeight="1" x14ac:dyDescent="0.25">
      <c r="A56" s="4">
        <f t="shared" si="0"/>
        <v>55</v>
      </c>
      <c r="B56" s="5" t="s">
        <v>71</v>
      </c>
      <c r="C56" s="4" t="s">
        <v>13</v>
      </c>
      <c r="D56" s="6" t="s">
        <v>14</v>
      </c>
      <c r="E56" s="7" t="s">
        <v>20</v>
      </c>
      <c r="F56" s="8">
        <v>901</v>
      </c>
      <c r="G56" s="9">
        <f t="shared" si="6"/>
        <v>10812</v>
      </c>
      <c r="H56" s="10">
        <f>F56/12*11</f>
        <v>825.91666666666663</v>
      </c>
      <c r="I56" s="10">
        <f t="shared" si="10"/>
        <v>412.5</v>
      </c>
      <c r="J56" s="9">
        <v>0</v>
      </c>
      <c r="K56" s="9">
        <v>0</v>
      </c>
      <c r="L56" s="10">
        <f t="shared" si="9"/>
        <v>1238.4166666666665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s="12" customFormat="1" ht="15.75" customHeight="1" x14ac:dyDescent="0.25">
      <c r="A57" s="4">
        <f t="shared" si="0"/>
        <v>56</v>
      </c>
      <c r="B57" s="5" t="s">
        <v>21</v>
      </c>
      <c r="C57" s="4" t="s">
        <v>13</v>
      </c>
      <c r="D57" s="6" t="s">
        <v>14</v>
      </c>
      <c r="E57" s="7" t="s">
        <v>20</v>
      </c>
      <c r="F57" s="8">
        <v>901</v>
      </c>
      <c r="G57" s="9">
        <f>F57*12</f>
        <v>10812</v>
      </c>
      <c r="H57" s="10">
        <f>F57/12*11</f>
        <v>825.91666666666663</v>
      </c>
      <c r="I57" s="10">
        <f t="shared" si="10"/>
        <v>412.5</v>
      </c>
      <c r="J57" s="9">
        <v>0</v>
      </c>
      <c r="K57" s="9">
        <v>0</v>
      </c>
      <c r="L57" s="10">
        <f t="shared" si="9"/>
        <v>1238.4166666666665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s="12" customFormat="1" ht="15.75" customHeight="1" x14ac:dyDescent="0.25">
      <c r="A58" s="4">
        <f t="shared" si="0"/>
        <v>57</v>
      </c>
      <c r="B58" s="5" t="s">
        <v>72</v>
      </c>
      <c r="C58" s="4" t="s">
        <v>13</v>
      </c>
      <c r="D58" s="6" t="s">
        <v>14</v>
      </c>
      <c r="E58" s="7" t="s">
        <v>15</v>
      </c>
      <c r="F58" s="8">
        <v>622</v>
      </c>
      <c r="G58" s="9">
        <f t="shared" si="6"/>
        <v>7464</v>
      </c>
      <c r="H58" s="10">
        <f>F58/12*11</f>
        <v>570.16666666666674</v>
      </c>
      <c r="I58" s="10">
        <f t="shared" si="10"/>
        <v>412.5</v>
      </c>
      <c r="J58" s="9">
        <v>0</v>
      </c>
      <c r="K58" s="9">
        <v>0</v>
      </c>
      <c r="L58" s="10">
        <f t="shared" si="9"/>
        <v>982.66666666666674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s="12" customFormat="1" ht="15.75" customHeight="1" x14ac:dyDescent="0.25">
      <c r="A59" s="4">
        <f t="shared" si="0"/>
        <v>58</v>
      </c>
      <c r="B59" s="5" t="s">
        <v>73</v>
      </c>
      <c r="C59" s="4" t="s">
        <v>13</v>
      </c>
      <c r="D59" s="6" t="s">
        <v>14</v>
      </c>
      <c r="E59" s="7" t="s">
        <v>62</v>
      </c>
      <c r="F59" s="8">
        <v>585</v>
      </c>
      <c r="G59" s="9">
        <v>7020</v>
      </c>
      <c r="H59" s="10">
        <f>42.25+(48.75*10)</f>
        <v>529.75</v>
      </c>
      <c r="I59" s="10">
        <f>(450/360*26)+(37.5*10)</f>
        <v>407.5</v>
      </c>
      <c r="J59" s="9">
        <v>0</v>
      </c>
      <c r="K59" s="9">
        <v>0</v>
      </c>
      <c r="L59" s="10">
        <f t="shared" si="9"/>
        <v>937.25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s="12" customFormat="1" ht="15.75" customHeight="1" x14ac:dyDescent="0.25">
      <c r="A60" s="4">
        <f t="shared" si="0"/>
        <v>59</v>
      </c>
      <c r="B60" s="5" t="s">
        <v>74</v>
      </c>
      <c r="C60" s="4" t="s">
        <v>13</v>
      </c>
      <c r="D60" s="6" t="s">
        <v>14</v>
      </c>
      <c r="E60" s="7" t="s">
        <v>39</v>
      </c>
      <c r="F60" s="8">
        <v>1676</v>
      </c>
      <c r="G60" s="9">
        <f t="shared" si="6"/>
        <v>20112</v>
      </c>
      <c r="H60" s="10">
        <f>F60/12*11</f>
        <v>1536.3333333333333</v>
      </c>
      <c r="I60" s="10">
        <f>(450/360*30)*11</f>
        <v>412.5</v>
      </c>
      <c r="J60" s="9">
        <v>0</v>
      </c>
      <c r="K60" s="9">
        <v>0</v>
      </c>
      <c r="L60" s="10">
        <f t="shared" si="9"/>
        <v>1948.8333333333333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s="12" customFormat="1" ht="15.75" customHeight="1" x14ac:dyDescent="0.25">
      <c r="A61" s="4">
        <f t="shared" si="0"/>
        <v>60</v>
      </c>
      <c r="B61" s="5" t="s">
        <v>41</v>
      </c>
      <c r="C61" s="4" t="s">
        <v>13</v>
      </c>
      <c r="D61" s="6" t="s">
        <v>14</v>
      </c>
      <c r="E61" s="7" t="s">
        <v>17</v>
      </c>
      <c r="F61" s="8">
        <v>733</v>
      </c>
      <c r="G61" s="8">
        <f>(733*4)+390.93</f>
        <v>3322.93</v>
      </c>
      <c r="H61" s="10">
        <f>32.58+61.08*3</f>
        <v>215.82</v>
      </c>
      <c r="I61" s="10">
        <f>20+37.5*3</f>
        <v>132.5</v>
      </c>
      <c r="J61" s="9">
        <v>0</v>
      </c>
      <c r="K61" s="9">
        <v>0</v>
      </c>
      <c r="L61" s="10">
        <f>H61+I61</f>
        <v>348.32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s="12" customFormat="1" ht="15.75" customHeight="1" x14ac:dyDescent="0.25">
      <c r="A62" s="4">
        <f t="shared" si="0"/>
        <v>61</v>
      </c>
      <c r="B62" s="13" t="s">
        <v>12</v>
      </c>
      <c r="C62" s="4" t="s">
        <v>13</v>
      </c>
      <c r="D62" s="6" t="s">
        <v>14</v>
      </c>
      <c r="E62" s="7" t="s">
        <v>15</v>
      </c>
      <c r="F62" s="8">
        <v>622</v>
      </c>
      <c r="G62" s="9">
        <f>F62*2</f>
        <v>1244</v>
      </c>
      <c r="H62" s="10">
        <v>43.19</v>
      </c>
      <c r="I62" s="10">
        <v>31.25</v>
      </c>
      <c r="J62" s="9">
        <v>0</v>
      </c>
      <c r="K62" s="9">
        <v>0</v>
      </c>
      <c r="L62" s="10">
        <f>SUM(H62:K62)</f>
        <v>74.44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s="12" customFormat="1" ht="15.75" customHeight="1" x14ac:dyDescent="0.25">
      <c r="A63" s="4">
        <f t="shared" si="0"/>
        <v>62</v>
      </c>
      <c r="B63" s="13" t="s">
        <v>12</v>
      </c>
      <c r="C63" s="4" t="s">
        <v>13</v>
      </c>
      <c r="D63" s="6" t="s">
        <v>14</v>
      </c>
      <c r="E63" s="7" t="s">
        <v>15</v>
      </c>
      <c r="F63" s="8">
        <v>622</v>
      </c>
      <c r="G63" s="9">
        <f>F63*2</f>
        <v>1244</v>
      </c>
      <c r="H63" s="10">
        <v>43.19</v>
      </c>
      <c r="I63" s="10">
        <v>31.25</v>
      </c>
      <c r="J63" s="9">
        <v>0</v>
      </c>
      <c r="K63" s="9">
        <v>0</v>
      </c>
      <c r="L63" s="10">
        <f>SUM(H63:K63)</f>
        <v>74.44</v>
      </c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s="12" customFormat="1" ht="15.75" customHeight="1" x14ac:dyDescent="0.25">
      <c r="A64" s="4">
        <f t="shared" si="0"/>
        <v>63</v>
      </c>
      <c r="B64" s="5" t="s">
        <v>75</v>
      </c>
      <c r="C64" s="4" t="s">
        <v>13</v>
      </c>
      <c r="D64" s="6" t="s">
        <v>38</v>
      </c>
      <c r="E64" s="7" t="s">
        <v>17</v>
      </c>
      <c r="F64" s="8">
        <v>733</v>
      </c>
      <c r="G64" s="9">
        <v>8796</v>
      </c>
      <c r="H64" s="10">
        <f>30.54+(61.08*10)</f>
        <v>641.33999999999992</v>
      </c>
      <c r="I64" s="10">
        <f>450/360*15+(37.5*10)</f>
        <v>393.75</v>
      </c>
      <c r="J64" s="9">
        <v>0</v>
      </c>
      <c r="K64" s="9">
        <v>0</v>
      </c>
      <c r="L64" s="10">
        <f t="shared" ref="L64:L69" si="11">+SUM(H64:K64)</f>
        <v>1035.0899999999999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s="12" customFormat="1" ht="15.75" customHeight="1" x14ac:dyDescent="0.25">
      <c r="A65" s="4">
        <f t="shared" si="0"/>
        <v>64</v>
      </c>
      <c r="B65" s="5" t="s">
        <v>76</v>
      </c>
      <c r="C65" s="4" t="s">
        <v>13</v>
      </c>
      <c r="D65" s="6" t="s">
        <v>38</v>
      </c>
      <c r="E65" s="7" t="s">
        <v>17</v>
      </c>
      <c r="F65" s="8">
        <v>733</v>
      </c>
      <c r="G65" s="9">
        <v>8796</v>
      </c>
      <c r="H65" s="10">
        <f>(635.27/12)+(F65/12)*5</f>
        <v>358.35583333333335</v>
      </c>
      <c r="I65" s="10">
        <f>(450/360*26)+37.5*5</f>
        <v>220</v>
      </c>
      <c r="J65" s="9">
        <v>0</v>
      </c>
      <c r="K65" s="9">
        <v>0</v>
      </c>
      <c r="L65" s="10">
        <f t="shared" si="11"/>
        <v>578.35583333333329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s="12" customFormat="1" ht="15.75" customHeight="1" x14ac:dyDescent="0.25">
      <c r="A66" s="4">
        <f t="shared" si="0"/>
        <v>65</v>
      </c>
      <c r="B66" s="5" t="s">
        <v>77</v>
      </c>
      <c r="C66" s="4" t="s">
        <v>13</v>
      </c>
      <c r="D66" s="6" t="s">
        <v>38</v>
      </c>
      <c r="E66" s="7" t="s">
        <v>26</v>
      </c>
      <c r="F66" s="8">
        <v>1212</v>
      </c>
      <c r="G66" s="9">
        <f t="shared" si="6"/>
        <v>14544</v>
      </c>
      <c r="H66" s="10">
        <f>F66/12*11</f>
        <v>1111</v>
      </c>
      <c r="I66" s="10">
        <f>(450/360*30)*11</f>
        <v>412.5</v>
      </c>
      <c r="J66" s="9">
        <v>0</v>
      </c>
      <c r="K66" s="9">
        <v>0</v>
      </c>
      <c r="L66" s="10">
        <f t="shared" si="11"/>
        <v>1523.5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s="12" customFormat="1" ht="15.75" customHeight="1" x14ac:dyDescent="0.25">
      <c r="A67" s="4">
        <f t="shared" si="0"/>
        <v>66</v>
      </c>
      <c r="B67" s="5" t="s">
        <v>78</v>
      </c>
      <c r="C67" s="4" t="s">
        <v>13</v>
      </c>
      <c r="D67" s="6" t="s">
        <v>35</v>
      </c>
      <c r="E67" s="7">
        <v>5</v>
      </c>
      <c r="F67" s="8">
        <v>2500</v>
      </c>
      <c r="G67" s="9">
        <f t="shared" si="6"/>
        <v>30000</v>
      </c>
      <c r="H67" s="10">
        <f>675+(208.33*8)</f>
        <v>2341.6400000000003</v>
      </c>
      <c r="I67" s="10">
        <f>(450/360*30)*11</f>
        <v>412.5</v>
      </c>
      <c r="J67" s="9">
        <v>0</v>
      </c>
      <c r="K67" s="9">
        <v>0</v>
      </c>
      <c r="L67" s="10">
        <f t="shared" si="11"/>
        <v>2754.1400000000003</v>
      </c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s="12" customFormat="1" ht="15.75" customHeight="1" x14ac:dyDescent="0.25">
      <c r="A68" s="4">
        <f t="shared" ref="A68:A84" si="12">1+A67</f>
        <v>67</v>
      </c>
      <c r="B68" s="5" t="s">
        <v>24</v>
      </c>
      <c r="C68" s="4" t="s">
        <v>13</v>
      </c>
      <c r="D68" s="6" t="s">
        <v>14</v>
      </c>
      <c r="E68" s="7" t="s">
        <v>17</v>
      </c>
      <c r="F68" s="8">
        <v>733</v>
      </c>
      <c r="G68" s="9">
        <f t="shared" si="6"/>
        <v>8796</v>
      </c>
      <c r="H68" s="10">
        <f>F68/12*11</f>
        <v>671.91666666666674</v>
      </c>
      <c r="I68" s="10">
        <f>(450/360*30)*11</f>
        <v>412.5</v>
      </c>
      <c r="J68" s="9">
        <v>0</v>
      </c>
      <c r="K68" s="9">
        <v>0</v>
      </c>
      <c r="L68" s="10">
        <f t="shared" si="11"/>
        <v>1084.4166666666667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s="12" customFormat="1" ht="15.75" customHeight="1" x14ac:dyDescent="0.25">
      <c r="A69" s="4">
        <f t="shared" si="12"/>
        <v>68</v>
      </c>
      <c r="B69" s="5" t="s">
        <v>79</v>
      </c>
      <c r="C69" s="4" t="s">
        <v>13</v>
      </c>
      <c r="D69" s="6" t="s">
        <v>14</v>
      </c>
      <c r="E69" s="7" t="s">
        <v>26</v>
      </c>
      <c r="F69" s="8">
        <v>1212</v>
      </c>
      <c r="G69" s="9">
        <f t="shared" si="6"/>
        <v>14544</v>
      </c>
      <c r="H69" s="10">
        <f>90.9+(101*6)</f>
        <v>696.9</v>
      </c>
      <c r="I69" s="10">
        <f>450/360*27+(37.5*6)</f>
        <v>258.75</v>
      </c>
      <c r="J69" s="9">
        <v>0</v>
      </c>
      <c r="K69" s="9">
        <v>0</v>
      </c>
      <c r="L69" s="10">
        <f t="shared" si="11"/>
        <v>955.65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s="12" customFormat="1" ht="15.75" customHeight="1" x14ac:dyDescent="0.25">
      <c r="A70" s="4">
        <f t="shared" si="12"/>
        <v>69</v>
      </c>
      <c r="B70" s="5" t="s">
        <v>80</v>
      </c>
      <c r="C70" s="4" t="s">
        <v>13</v>
      </c>
      <c r="D70" s="6" t="s">
        <v>14</v>
      </c>
      <c r="E70" s="7" t="s">
        <v>20</v>
      </c>
      <c r="F70" s="8">
        <v>901</v>
      </c>
      <c r="G70" s="9">
        <f t="shared" si="6"/>
        <v>10812</v>
      </c>
      <c r="H70" s="10">
        <f>F70/12*11</f>
        <v>825.91666666666663</v>
      </c>
      <c r="I70" s="10">
        <f>(450/360*30)*11</f>
        <v>412.5</v>
      </c>
      <c r="J70" s="9">
        <v>0</v>
      </c>
      <c r="K70" s="9">
        <v>0</v>
      </c>
      <c r="L70" s="10">
        <f t="shared" si="9"/>
        <v>1238.4166666666665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s="12" customFormat="1" ht="15.75" customHeight="1" x14ac:dyDescent="0.25">
      <c r="A71" s="4">
        <f t="shared" si="12"/>
        <v>70</v>
      </c>
      <c r="B71" s="5" t="s">
        <v>81</v>
      </c>
      <c r="C71" s="4" t="s">
        <v>13</v>
      </c>
      <c r="D71" s="6" t="s">
        <v>14</v>
      </c>
      <c r="E71" s="7" t="s">
        <v>26</v>
      </c>
      <c r="F71" s="8">
        <v>1212</v>
      </c>
      <c r="G71" s="9">
        <f>F71*4</f>
        <v>4848</v>
      </c>
      <c r="H71" s="10">
        <f>F71/12*3</f>
        <v>303</v>
      </c>
      <c r="I71" s="10">
        <f>(450/360*30)*3</f>
        <v>112.5</v>
      </c>
      <c r="J71" s="9">
        <v>0</v>
      </c>
      <c r="K71" s="9">
        <v>0</v>
      </c>
      <c r="L71" s="10">
        <f t="shared" si="9"/>
        <v>415.5</v>
      </c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ht="15.75" customHeight="1" x14ac:dyDescent="0.25">
      <c r="A72" s="23">
        <f>1+A71</f>
        <v>71</v>
      </c>
      <c r="B72" s="24" t="s">
        <v>82</v>
      </c>
      <c r="C72" s="23" t="s">
        <v>13</v>
      </c>
      <c r="D72" s="25" t="s">
        <v>14</v>
      </c>
      <c r="E72" s="26" t="s">
        <v>39</v>
      </c>
      <c r="F72" s="8">
        <v>1676</v>
      </c>
      <c r="G72" s="27">
        <f t="shared" si="6"/>
        <v>20112</v>
      </c>
      <c r="H72" s="28">
        <f>F72/12*11</f>
        <v>1536.3333333333333</v>
      </c>
      <c r="I72" s="28">
        <f>(450/360*30)*11</f>
        <v>412.5</v>
      </c>
      <c r="J72" s="27">
        <v>0</v>
      </c>
      <c r="K72" s="27">
        <v>0</v>
      </c>
      <c r="L72" s="28">
        <f t="shared" si="9"/>
        <v>1948.8333333333333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3">
      <c r="A73" s="23">
        <f t="shared" si="12"/>
        <v>72</v>
      </c>
      <c r="B73" s="29" t="s">
        <v>83</v>
      </c>
      <c r="C73" s="23" t="s">
        <v>13</v>
      </c>
      <c r="D73" s="25" t="s">
        <v>35</v>
      </c>
      <c r="E73" s="26">
        <v>4</v>
      </c>
      <c r="F73" s="8">
        <v>3500</v>
      </c>
      <c r="G73" s="27">
        <v>42000</v>
      </c>
      <c r="H73" s="28">
        <f>155.56+(291.67*9)</f>
        <v>2780.59</v>
      </c>
      <c r="I73" s="28">
        <f>450/360*16+(37.5*9)</f>
        <v>357.5</v>
      </c>
      <c r="J73" s="27">
        <v>0</v>
      </c>
      <c r="K73" s="27">
        <v>0</v>
      </c>
      <c r="L73" s="28">
        <f t="shared" si="9"/>
        <v>3138.09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23">
        <f t="shared" si="12"/>
        <v>73</v>
      </c>
      <c r="B74" s="24" t="s">
        <v>47</v>
      </c>
      <c r="C74" s="23" t="s">
        <v>13</v>
      </c>
      <c r="D74" s="25" t="s">
        <v>14</v>
      </c>
      <c r="E74" s="26" t="s">
        <v>15</v>
      </c>
      <c r="F74" s="8">
        <v>622</v>
      </c>
      <c r="G74" s="27">
        <f t="shared" si="6"/>
        <v>7464</v>
      </c>
      <c r="H74" s="28">
        <f>F74/12*11</f>
        <v>570.16666666666674</v>
      </c>
      <c r="I74" s="28">
        <f>(450/360*30)*11</f>
        <v>412.5</v>
      </c>
      <c r="J74" s="27">
        <v>0</v>
      </c>
      <c r="K74" s="27">
        <v>0</v>
      </c>
      <c r="L74" s="28">
        <f t="shared" si="9"/>
        <v>982.66666666666674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23">
        <f t="shared" si="12"/>
        <v>74</v>
      </c>
      <c r="B75" s="24" t="s">
        <v>84</v>
      </c>
      <c r="C75" s="23" t="s">
        <v>13</v>
      </c>
      <c r="D75" s="25" t="s">
        <v>14</v>
      </c>
      <c r="E75" s="26" t="s">
        <v>26</v>
      </c>
      <c r="F75" s="8">
        <v>1212</v>
      </c>
      <c r="G75" s="27">
        <f t="shared" si="6"/>
        <v>14544</v>
      </c>
      <c r="H75" s="28">
        <f>F75/12*11</f>
        <v>1111</v>
      </c>
      <c r="I75" s="28">
        <f>(450/360*30)*11</f>
        <v>412.5</v>
      </c>
      <c r="J75" s="27">
        <v>0</v>
      </c>
      <c r="K75" s="27">
        <v>0</v>
      </c>
      <c r="L75" s="28">
        <f t="shared" si="9"/>
        <v>1523.5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23">
        <f t="shared" si="12"/>
        <v>75</v>
      </c>
      <c r="B76" s="24" t="s">
        <v>85</v>
      </c>
      <c r="C76" s="23" t="s">
        <v>13</v>
      </c>
      <c r="D76" s="25" t="s">
        <v>14</v>
      </c>
      <c r="E76" s="26" t="s">
        <v>26</v>
      </c>
      <c r="F76" s="8">
        <v>1212</v>
      </c>
      <c r="G76" s="27">
        <f t="shared" si="6"/>
        <v>14544</v>
      </c>
      <c r="H76" s="28">
        <f>F76/12*11</f>
        <v>1111</v>
      </c>
      <c r="I76" s="28">
        <f>(450/360*30)*11</f>
        <v>412.5</v>
      </c>
      <c r="J76" s="27">
        <v>0</v>
      </c>
      <c r="K76" s="27">
        <v>0</v>
      </c>
      <c r="L76" s="28">
        <f t="shared" si="9"/>
        <v>1523.5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s="12" customFormat="1" ht="15.75" customHeight="1" x14ac:dyDescent="0.25">
      <c r="A77" s="4">
        <f t="shared" si="12"/>
        <v>76</v>
      </c>
      <c r="B77" s="13" t="s">
        <v>12</v>
      </c>
      <c r="C77" s="4" t="s">
        <v>13</v>
      </c>
      <c r="D77" s="6" t="s">
        <v>14</v>
      </c>
      <c r="E77" s="7" t="s">
        <v>15</v>
      </c>
      <c r="F77" s="8">
        <v>622</v>
      </c>
      <c r="G77" s="9">
        <f>F77*2</f>
        <v>1244</v>
      </c>
      <c r="H77" s="10">
        <v>43.19</v>
      </c>
      <c r="I77" s="10">
        <v>31.25</v>
      </c>
      <c r="J77" s="9">
        <v>0</v>
      </c>
      <c r="K77" s="9">
        <v>0</v>
      </c>
      <c r="L77" s="10">
        <f>SUM(H77:K77)</f>
        <v>74.44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ht="15.75" customHeight="1" x14ac:dyDescent="0.25">
      <c r="A78" s="23">
        <f t="shared" si="12"/>
        <v>77</v>
      </c>
      <c r="B78" s="24" t="s">
        <v>24</v>
      </c>
      <c r="C78" s="23" t="s">
        <v>13</v>
      </c>
      <c r="D78" s="25" t="s">
        <v>14</v>
      </c>
      <c r="E78" s="26" t="s">
        <v>17</v>
      </c>
      <c r="F78" s="8">
        <v>733</v>
      </c>
      <c r="G78" s="27">
        <f t="shared" si="6"/>
        <v>8796</v>
      </c>
      <c r="H78" s="28">
        <f>F78/12*11</f>
        <v>671.91666666666674</v>
      </c>
      <c r="I78" s="28">
        <f>(450/360*30)*11</f>
        <v>412.5</v>
      </c>
      <c r="J78" s="27">
        <v>0</v>
      </c>
      <c r="K78" s="27">
        <v>0</v>
      </c>
      <c r="L78" s="28">
        <f t="shared" si="9"/>
        <v>1084.4166666666667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s="12" customFormat="1" ht="15.75" customHeight="1" x14ac:dyDescent="0.25">
      <c r="A79" s="4" t="s">
        <v>86</v>
      </c>
      <c r="B79" s="13" t="s">
        <v>12</v>
      </c>
      <c r="C79" s="4" t="s">
        <v>13</v>
      </c>
      <c r="D79" s="6" t="s">
        <v>14</v>
      </c>
      <c r="E79" s="7" t="s">
        <v>15</v>
      </c>
      <c r="F79" s="8">
        <v>622</v>
      </c>
      <c r="G79" s="9">
        <f>F79*2</f>
        <v>1244</v>
      </c>
      <c r="H79" s="10">
        <v>43.19</v>
      </c>
      <c r="I79" s="10">
        <v>31.25</v>
      </c>
      <c r="J79" s="9">
        <v>0</v>
      </c>
      <c r="K79" s="9">
        <v>0</v>
      </c>
      <c r="L79" s="10">
        <f>SUM(H79:K79)</f>
        <v>74.44</v>
      </c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ht="15.75" customHeight="1" x14ac:dyDescent="0.25">
      <c r="A80" s="23" t="e">
        <f t="shared" si="12"/>
        <v>#VALUE!</v>
      </c>
      <c r="B80" s="24" t="s">
        <v>87</v>
      </c>
      <c r="C80" s="23" t="s">
        <v>13</v>
      </c>
      <c r="D80" s="25" t="s">
        <v>14</v>
      </c>
      <c r="E80" s="26" t="s">
        <v>20</v>
      </c>
      <c r="F80" s="8">
        <v>901</v>
      </c>
      <c r="G80" s="27">
        <v>10812</v>
      </c>
      <c r="H80" s="28">
        <f>F80/12*11</f>
        <v>825.91666666666663</v>
      </c>
      <c r="I80" s="28">
        <f>(450/360*30)*11</f>
        <v>412.5</v>
      </c>
      <c r="J80" s="27">
        <v>0</v>
      </c>
      <c r="K80" s="27">
        <v>0</v>
      </c>
      <c r="L80" s="28">
        <f t="shared" si="9"/>
        <v>1238.4166666666665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23" t="e">
        <f t="shared" si="12"/>
        <v>#VALUE!</v>
      </c>
      <c r="B81" s="24" t="s">
        <v>88</v>
      </c>
      <c r="C81" s="23" t="s">
        <v>13</v>
      </c>
      <c r="D81" s="25" t="s">
        <v>14</v>
      </c>
      <c r="E81" s="26" t="s">
        <v>20</v>
      </c>
      <c r="F81" s="8">
        <v>901</v>
      </c>
      <c r="G81" s="27">
        <v>10812</v>
      </c>
      <c r="H81" s="28">
        <f>F81/12*11</f>
        <v>825.91666666666663</v>
      </c>
      <c r="I81" s="28">
        <f>(450/360*30)*11</f>
        <v>412.5</v>
      </c>
      <c r="J81" s="27">
        <v>0</v>
      </c>
      <c r="K81" s="27">
        <v>0</v>
      </c>
      <c r="L81" s="28">
        <f t="shared" si="9"/>
        <v>1238.4166666666665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23" t="e">
        <f t="shared" si="12"/>
        <v>#VALUE!</v>
      </c>
      <c r="B82" s="24" t="s">
        <v>89</v>
      </c>
      <c r="C82" s="23" t="s">
        <v>13</v>
      </c>
      <c r="D82" s="25" t="s">
        <v>14</v>
      </c>
      <c r="E82" s="26" t="s">
        <v>20</v>
      </c>
      <c r="F82" s="8">
        <v>901</v>
      </c>
      <c r="G82" s="27">
        <v>10812</v>
      </c>
      <c r="H82" s="28">
        <f>F82/12*11</f>
        <v>825.91666666666663</v>
      </c>
      <c r="I82" s="28">
        <f>(450/360*30)*11</f>
        <v>412.5</v>
      </c>
      <c r="J82" s="27">
        <v>0</v>
      </c>
      <c r="K82" s="27">
        <v>0</v>
      </c>
      <c r="L82" s="28">
        <f t="shared" si="9"/>
        <v>1238.4166666666665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23" t="e">
        <f t="shared" si="12"/>
        <v>#VALUE!</v>
      </c>
      <c r="B83" s="24" t="s">
        <v>90</v>
      </c>
      <c r="C83" s="23" t="s">
        <v>13</v>
      </c>
      <c r="D83" s="25" t="s">
        <v>14</v>
      </c>
      <c r="E83" s="26" t="s">
        <v>52</v>
      </c>
      <c r="F83" s="8">
        <v>1086</v>
      </c>
      <c r="G83" s="27">
        <f t="shared" ref="G83:G84" si="13">F83*12</f>
        <v>13032</v>
      </c>
      <c r="H83" s="28">
        <f>F83/12*11</f>
        <v>995.5</v>
      </c>
      <c r="I83" s="28">
        <f>(450/360*30)*11</f>
        <v>412.5</v>
      </c>
      <c r="J83" s="27">
        <v>0</v>
      </c>
      <c r="K83" s="27">
        <v>0</v>
      </c>
      <c r="L83" s="28">
        <f t="shared" si="9"/>
        <v>1408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23" t="e">
        <f t="shared" si="12"/>
        <v>#VALUE!</v>
      </c>
      <c r="B84" s="24" t="s">
        <v>48</v>
      </c>
      <c r="C84" s="23" t="s">
        <v>13</v>
      </c>
      <c r="D84" s="25" t="s">
        <v>14</v>
      </c>
      <c r="E84" s="26" t="s">
        <v>49</v>
      </c>
      <c r="F84" s="8">
        <v>817</v>
      </c>
      <c r="G84" s="27">
        <f t="shared" si="13"/>
        <v>9804</v>
      </c>
      <c r="H84" s="28">
        <f>F84/12*11</f>
        <v>748.91666666666663</v>
      </c>
      <c r="I84" s="28">
        <f>(450/360*30)*11</f>
        <v>412.5</v>
      </c>
      <c r="J84" s="27">
        <v>0</v>
      </c>
      <c r="K84" s="27">
        <v>0</v>
      </c>
      <c r="L84" s="28">
        <f t="shared" si="9"/>
        <v>1161.4166666666665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</sheetData>
  <autoFilter ref="A1:L84"/>
  <pageMargins left="0.7" right="0.7" top="0.75" bottom="0.75" header="0" footer="0"/>
  <pageSetup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GUIN EPUNEMI</dc:creator>
  <cp:lastModifiedBy>HENRY GUIN EPUNEMI</cp:lastModifiedBy>
  <cp:lastPrinted>2024-01-19T14:04:56Z</cp:lastPrinted>
  <dcterms:created xsi:type="dcterms:W3CDTF">2024-01-19T14:04:37Z</dcterms:created>
  <dcterms:modified xsi:type="dcterms:W3CDTF">2024-01-19T14:05:17Z</dcterms:modified>
</cp:coreProperties>
</file>